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ircraft - Torpedo Bombers" sheetId="1" r:id="rId4"/>
    <sheet name="Aircraft - Dive Bombers" sheetId="2" r:id="rId5"/>
    <sheet name="Aircraft - Fighters" sheetId="3" r:id="rId6"/>
    <sheet name="Aircraft - Auxiliary" sheetId="4" r:id="rId7"/>
    <sheet name="Long Range Guns - BB Guns" sheetId="5" r:id="rId8"/>
    <sheet name="Guns - CA Guns" sheetId="6" r:id="rId9"/>
    <sheet name="Anti Air Guns - AA Guns" sheetId="7" r:id="rId10"/>
    <sheet name="Torpedos" sheetId="8" r:id="rId11"/>
    <sheet name="Auxiliary - Standard" sheetId="9" r:id="rId12"/>
    <sheet name="Auxiliary - Special" sheetId="10" r:id="rId13"/>
    <sheet name="Ships - Main fleet club" sheetId="11" r:id="rId14"/>
    <sheet name="Modernisation - Mod Calc" sheetId="12" r:id="rId15"/>
    <sheet name="Fleet Tech - Tech" sheetId="13" r:id="rId16"/>
  </sheets>
</workbook>
</file>

<file path=xl/sharedStrings.xml><?xml version="1.0" encoding="utf-8"?>
<sst xmlns="http://schemas.openxmlformats.org/spreadsheetml/2006/main" uniqueCount="383">
  <si>
    <t>Torpedo Bombers</t>
  </si>
  <si>
    <t>Name</t>
  </si>
  <si>
    <t>Trp dmg</t>
  </si>
  <si>
    <t>At 90s</t>
  </si>
  <si>
    <t>Intercept dmg 5s</t>
  </si>
  <si>
    <t>cooldown</t>
  </si>
  <si>
    <t>type</t>
  </si>
  <si>
    <t>mod</t>
  </si>
  <si>
    <t>ops</t>
  </si>
  <si>
    <t>Int 1 dmg</t>
  </si>
  <si>
    <t>Int 2 dmg</t>
  </si>
  <si>
    <t>Int 3 dmg</t>
  </si>
  <si>
    <t>Int 1 cooldown</t>
  </si>
  <si>
    <t>Int 2 cooldown</t>
  </si>
  <si>
    <t>Int 3 cooldown</t>
  </si>
  <si>
    <t>faction</t>
  </si>
  <si>
    <t>Avi boost</t>
  </si>
  <si>
    <t>Skill</t>
  </si>
  <si>
    <t>Aichi B7A Ryusei</t>
  </si>
  <si>
    <t>Sakura Empire</t>
  </si>
  <si>
    <t>none</t>
  </si>
  <si>
    <t>Barracuda</t>
  </si>
  <si>
    <t>Royal Navy</t>
  </si>
  <si>
    <t>Prototype Saiun Kai</t>
  </si>
  <si>
    <t>JU-87 D-4</t>
  </si>
  <si>
    <t>Iron Blood</t>
  </si>
  <si>
    <t>TBF Avenger</t>
  </si>
  <si>
    <t>Eagle Union</t>
  </si>
  <si>
    <t>Tenzan</t>
  </si>
  <si>
    <t>Dive Bombers</t>
  </si>
  <si>
    <t>name</t>
  </si>
  <si>
    <t>Bomb dmg</t>
  </si>
  <si>
    <t>Prototype Tenrai</t>
  </si>
  <si>
    <t>Armour-piercing Bomb</t>
  </si>
  <si>
    <t>BTD-1 Destroyer</t>
  </si>
  <si>
    <t>Suisei</t>
  </si>
  <si>
    <t>SB2C Helldiver</t>
  </si>
  <si>
    <t>Fulmar</t>
  </si>
  <si>
    <t>Type 99 Dive Bomber</t>
  </si>
  <si>
    <t>JU-87C Dive Bomber</t>
  </si>
  <si>
    <t>Fighters</t>
  </si>
  <si>
    <r>
      <rPr>
        <b val="1"/>
        <sz val="10"/>
        <color indexed="20"/>
        <rFont val="Helvetica Neue"/>
      </rPr>
      <t>Bomb</t>
    </r>
    <r>
      <rPr>
        <b val="1"/>
        <sz val="10"/>
        <color indexed="8"/>
        <rFont val="Helvetica Neue"/>
      </rPr>
      <t>/</t>
    </r>
    <r>
      <rPr>
        <b val="1"/>
        <sz val="10"/>
        <color indexed="21"/>
        <rFont val="Helvetica Neue"/>
      </rPr>
      <t>Trp</t>
    </r>
    <r>
      <rPr>
        <b val="1"/>
        <sz val="10"/>
        <color indexed="8"/>
        <rFont val="Helvetica Neue"/>
      </rPr>
      <t xml:space="preserve"> dmg</t>
    </r>
  </si>
  <si>
    <t>A7M Reppu</t>
  </si>
  <si>
    <t>Prototype BF-109G</t>
  </si>
  <si>
    <t>F6F Hellcat</t>
  </si>
  <si>
    <t>F4U (VF-17 “Pirate” Squad)</t>
  </si>
  <si>
    <t>Jolly Rogers</t>
  </si>
  <si>
    <t>Seafang</t>
  </si>
  <si>
    <t>Type 0 Fighter Model 52</t>
  </si>
  <si>
    <t>Messerschmitt ME-155A</t>
  </si>
  <si>
    <t>Spitfire</t>
  </si>
  <si>
    <t>Auxiliary</t>
  </si>
  <si>
    <t>Hit</t>
  </si>
  <si>
    <t>ASW</t>
  </si>
  <si>
    <t>PBY-5A Catalina</t>
  </si>
  <si>
    <t>PBY Aerial Recon</t>
  </si>
  <si>
    <t>BB Guns</t>
  </si>
  <si>
    <t>CB</t>
  </si>
  <si>
    <t>DMG</t>
  </si>
  <si>
    <t>FP boost</t>
  </si>
  <si>
    <t>Twin 457mm (Mark A Prototype)</t>
  </si>
  <si>
    <t>Triple 234mm (BL 9.2" Mk XII Prototype)</t>
  </si>
  <si>
    <t>Prototype Triple 406mm Mk6 Main Gun Mount</t>
  </si>
  <si>
    <t>Quadruple 356mm Main Gun Mount</t>
  </si>
  <si>
    <t>Twin 380mm SK C/34 Main Gun Mount</t>
  </si>
  <si>
    <t>Triple 381mm M1934 Main Gun Mount</t>
  </si>
  <si>
    <t>Sardegna Empire</t>
  </si>
  <si>
    <t>Overheating</t>
  </si>
  <si>
    <t>Triple 406mm MK-1 Main Gun Mount</t>
  </si>
  <si>
    <t>Northern Parliament</t>
  </si>
  <si>
    <t>Prototype Triple 380mm Mle 1935 Main Gun Mount</t>
  </si>
  <si>
    <t>Iris Libre</t>
  </si>
  <si>
    <t>Prototype Triple 305mm SK C/39 Main Gun Mount</t>
  </si>
  <si>
    <t>Y</t>
  </si>
  <si>
    <t>B-50 Triple 305mm Mk-15 Main Gun Mount</t>
  </si>
  <si>
    <t>Triple 406mm Mk 6 Main Gun Mount</t>
  </si>
  <si>
    <t>Twin 381 Main Gun Mount</t>
  </si>
  <si>
    <t>Twin 410mm Naval Gun Mount</t>
  </si>
  <si>
    <t>Triple 283mm SK C/28 Main Gun Mount</t>
  </si>
  <si>
    <t>Triple 305mm M1907 Main Gun Mount</t>
  </si>
  <si>
    <t>CA Guns</t>
  </si>
  <si>
    <t>AA boost</t>
  </si>
  <si>
    <t>Prototype Quadruple 152mm Main Gun Mount</t>
  </si>
  <si>
    <t>Prototype Triple 150mm Type 5 High-Angle Gun Mount</t>
  </si>
  <si>
    <t>Additional Anti-Air Weaponry</t>
  </si>
  <si>
    <t>Triple 155mm Main Gun Mount</t>
  </si>
  <si>
    <t>Prototype Twin 150mm TbtsK C42T Main Gun Mount</t>
  </si>
  <si>
    <t>Improved Adaptability</t>
  </si>
  <si>
    <t>Triple 152mm Model 1934 Main Gun Mount</t>
  </si>
  <si>
    <t>Prototype 203mm No. 3 Naval Gun Mount</t>
  </si>
  <si>
    <t>AA Guns</t>
  </si>
  <si>
    <t>Intercept DMG 5s</t>
  </si>
  <si>
    <t>ACC boost</t>
  </si>
  <si>
    <t>Quadruple 40mm Bofors AA Gun Mount</t>
  </si>
  <si>
    <t>Twin 40mm Bofors “Hazemeyer” AA Gun Mount</t>
  </si>
  <si>
    <t>Twin 40mm Bofors STAAG</t>
  </si>
  <si>
    <t>Twin 113mm AA Gun Mount</t>
  </si>
  <si>
    <t>Octuple 40mm Pom-Pom Gun Mount</t>
  </si>
  <si>
    <t>Prototype 55mm Gerät 58 AA Gun Mount</t>
  </si>
  <si>
    <t>Twin 105mm SK C/33 AA Gun Mount</t>
  </si>
  <si>
    <t>Prototype Twin 90mm Model 1939 High Angle Gun</t>
  </si>
  <si>
    <t>Standard</t>
  </si>
  <si>
    <t>Cooldown</t>
  </si>
  <si>
    <t>DMG low</t>
  </si>
  <si>
    <t>DMG high</t>
  </si>
  <si>
    <t>AVI</t>
  </si>
  <si>
    <t>TRP</t>
  </si>
  <si>
    <t>RLD</t>
  </si>
  <si>
    <t>FP</t>
  </si>
  <si>
    <t>EVA</t>
  </si>
  <si>
    <t>HP</t>
  </si>
  <si>
    <t>ACC</t>
  </si>
  <si>
    <t>AA</t>
  </si>
  <si>
    <t>SPD</t>
  </si>
  <si>
    <t>ASR</t>
  </si>
  <si>
    <t>Mod</t>
  </si>
  <si>
    <t>Ops</t>
  </si>
  <si>
    <t>Rarity</t>
  </si>
  <si>
    <t>Steam Catapult</t>
  </si>
  <si>
    <t>Aviation Oil Tank</t>
  </si>
  <si>
    <t>Aviation Oil Tank III</t>
  </si>
  <si>
    <t>Sea of Stars Area B20 Access Pass</t>
  </si>
  <si>
    <t>Type 93 Pure Oxygen Torpedo</t>
  </si>
  <si>
    <t>Autoloader</t>
  </si>
  <si>
    <t>Rammer</t>
  </si>
  <si>
    <t>High Performance Hydraulic Steering Gear</t>
  </si>
  <si>
    <t>Powered Evasion</t>
  </si>
  <si>
    <t>SG Radar</t>
  </si>
  <si>
    <t>SG Radar III</t>
  </si>
  <si>
    <t>SG Radar II</t>
  </si>
  <si>
    <t>SG Radar I</t>
  </si>
  <si>
    <t>Fuel Filter</t>
  </si>
  <si>
    <t>Naval Camouflage</t>
  </si>
  <si>
    <t>High Standard Fire-Control Radar</t>
  </si>
  <si>
    <t>Precision Lock-On</t>
  </si>
  <si>
    <t>Fire Control Radar</t>
  </si>
  <si>
    <t>Type 91 AP Shell</t>
  </si>
  <si>
    <t>Type 91 Piercing Shell</t>
  </si>
  <si>
    <t>Huan Ch’ang’s Fishing Rod</t>
  </si>
  <si>
    <t>High Performance Air Radar</t>
  </si>
  <si>
    <t>Aircraft Detection</t>
  </si>
  <si>
    <t>Air Radar</t>
  </si>
  <si>
    <t>RPG Adventure Interface</t>
  </si>
  <si>
    <t>Pearl’s Tears</t>
  </si>
  <si>
    <t>Pearls Tears</t>
  </si>
  <si>
    <t>Plum-Petal Poetry</t>
  </si>
  <si>
    <t>Ascension Box</t>
  </si>
  <si>
    <t>Repair Toolkit</t>
  </si>
  <si>
    <t>Repair Tools III</t>
  </si>
  <si>
    <t>Advanced Boiler</t>
  </si>
  <si>
    <t>Anti-Torpedo Bulge</t>
  </si>
  <si>
    <t>Anti-Torpedo Bulge III</t>
  </si>
  <si>
    <t>Ship Maintenance Facility</t>
  </si>
  <si>
    <t>Repair II</t>
  </si>
  <si>
    <t>Cross Brooch</t>
  </si>
  <si>
    <t>Fire Suppressor</t>
  </si>
  <si>
    <t>Fire Suppressor III</t>
  </si>
  <si>
    <t>Repair Tools I</t>
  </si>
  <si>
    <t>Anti-Torpedo Bulge I</t>
  </si>
  <si>
    <t>“Hedgehog” Anti-Submarine Mortar</t>
  </si>
  <si>
    <t>Advanced Sonar</t>
  </si>
  <si>
    <t>Basic Depth Charge Projector</t>
  </si>
  <si>
    <t>Compressed Oxygen Cylinder</t>
  </si>
  <si>
    <t>Gyroscope</t>
  </si>
  <si>
    <t>VH Armour Plating</t>
  </si>
  <si>
    <t>Special</t>
  </si>
  <si>
    <t>Bright Moon After the Rain</t>
  </si>
  <si>
    <t>Focused Assault - Takao</t>
  </si>
  <si>
    <t>Sister Sara’s Magic Wand!</t>
  </si>
  <si>
    <t>Artillery Cover - Saratoga</t>
  </si>
  <si>
    <t>Scepter</t>
  </si>
  <si>
    <t>Hunting Bow</t>
  </si>
  <si>
    <t>Bowgun</t>
  </si>
  <si>
    <t>Greatsword</t>
  </si>
  <si>
    <t>Crossbow</t>
  </si>
  <si>
    <t>Hammer</t>
  </si>
  <si>
    <t>Dual Swords</t>
  </si>
  <si>
    <t>Kunai</t>
  </si>
  <si>
    <t>Main fleet club</t>
  </si>
  <si>
    <t>Nickname</t>
  </si>
  <si>
    <t>Fav</t>
  </si>
  <si>
    <t>Fleet</t>
  </si>
  <si>
    <t>Position</t>
  </si>
  <si>
    <t>Type</t>
  </si>
  <si>
    <t>Affinity</t>
  </si>
  <si>
    <t>LB</t>
  </si>
  <si>
    <t>Level</t>
  </si>
  <si>
    <t>Armour</t>
  </si>
  <si>
    <t>Axis</t>
  </si>
  <si>
    <t>Faction</t>
  </si>
  <si>
    <t>bPower</t>
  </si>
  <si>
    <t>Power</t>
  </si>
  <si>
    <t>iPower</t>
  </si>
  <si>
    <t>dPower</t>
  </si>
  <si>
    <t>rPower</t>
  </si>
  <si>
    <t>LCK</t>
  </si>
  <si>
    <t>AMO</t>
  </si>
  <si>
    <t>Cost</t>
  </si>
  <si>
    <t>Gear</t>
  </si>
  <si>
    <t>Tech</t>
  </si>
  <si>
    <t>Base</t>
  </si>
  <si>
    <t>MOD</t>
  </si>
  <si>
    <t>Load</t>
  </si>
  <si>
    <t>G1 Rarity</t>
  </si>
  <si>
    <t>G1 Mod</t>
  </si>
  <si>
    <t>G2 Rarity</t>
  </si>
  <si>
    <t>G2 Mod</t>
  </si>
  <si>
    <t>G3 Rarity</t>
  </si>
  <si>
    <t>G3 Mod</t>
  </si>
  <si>
    <t>G4 Rarity</t>
  </si>
  <si>
    <t>G4 Mod</t>
  </si>
  <si>
    <t>G5 Rarity</t>
  </si>
  <si>
    <t>G5 Mod</t>
  </si>
  <si>
    <t>Augment Rarity</t>
  </si>
  <si>
    <t>Augment Mod</t>
  </si>
  <si>
    <t>Scratch</t>
  </si>
  <si>
    <t>G1 Base</t>
  </si>
  <si>
    <t>G1 Boost</t>
  </si>
  <si>
    <t>G2 Base</t>
  </si>
  <si>
    <t>G2 Boost</t>
  </si>
  <si>
    <t>G3 Base</t>
  </si>
  <si>
    <t>G3 Boost</t>
  </si>
  <si>
    <t>G4 Base</t>
  </si>
  <si>
    <t>G4 Boost</t>
  </si>
  <si>
    <t>G5 Base</t>
  </si>
  <si>
    <t>G5 Boost</t>
  </si>
  <si>
    <t>Augment Base</t>
  </si>
  <si>
    <t>Augment Boost</t>
  </si>
  <si>
    <t>Ops Boost</t>
  </si>
  <si>
    <t>Total Boost</t>
  </si>
  <si>
    <t>Noshiro</t>
  </si>
  <si>
    <t>Pointy Sister</t>
  </si>
  <si>
    <t>Vanguard</t>
  </si>
  <si>
    <t>CL</t>
  </si>
  <si>
    <t>Oath+</t>
  </si>
  <si>
    <t>SR</t>
  </si>
  <si>
    <t>Light</t>
  </si>
  <si>
    <t>Crimson Axis</t>
  </si>
  <si>
    <t>Shoukaku</t>
  </si>
  <si>
    <t>Kade</t>
  </si>
  <si>
    <t>Main</t>
  </si>
  <si>
    <t>CV</t>
  </si>
  <si>
    <t>Medium</t>
  </si>
  <si>
    <t>Souryuu META</t>
  </si>
  <si>
    <t>Canvas Sister</t>
  </si>
  <si>
    <t>Oath</t>
  </si>
  <si>
    <t>META SR</t>
  </si>
  <si>
    <t>Siren</t>
  </si>
  <si>
    <t>META</t>
  </si>
  <si>
    <t>Zuikaku</t>
  </si>
  <si>
    <t>Cool Sister</t>
  </si>
  <si>
    <t>Shirakami Fubuki</t>
  </si>
  <si>
    <t>DDV</t>
  </si>
  <si>
    <t>Love</t>
  </si>
  <si>
    <t>Event</t>
  </si>
  <si>
    <t>Hololive</t>
  </si>
  <si>
    <t>Royal Fortune</t>
  </si>
  <si>
    <t>Captain Yarrface</t>
  </si>
  <si>
    <t>Submarine</t>
  </si>
  <si>
    <t>IX</t>
  </si>
  <si>
    <t>Tempesta</t>
  </si>
  <si>
    <t>Kronshtadt</t>
  </si>
  <si>
    <t>Crush</t>
  </si>
  <si>
    <t>UR</t>
  </si>
  <si>
    <t>Heavy</t>
  </si>
  <si>
    <t>Azur Lane</t>
  </si>
  <si>
    <t>I-19</t>
  </si>
  <si>
    <t>Cat Sister</t>
  </si>
  <si>
    <t>SS</t>
  </si>
  <si>
    <t>I-168</t>
  </si>
  <si>
    <t>U-81</t>
  </si>
  <si>
    <t>Odin</t>
  </si>
  <si>
    <t>BC</t>
  </si>
  <si>
    <t>PRY</t>
  </si>
  <si>
    <t>Prinz Eugen</t>
  </si>
  <si>
    <t>CA</t>
  </si>
  <si>
    <t>U-557</t>
  </si>
  <si>
    <t>E</t>
  </si>
  <si>
    <t>Ulrich von Hutten</t>
  </si>
  <si>
    <t>N</t>
  </si>
  <si>
    <t>BB</t>
  </si>
  <si>
    <t>Tirpitz</t>
  </si>
  <si>
    <t>Stranger</t>
  </si>
  <si>
    <t>Z46</t>
  </si>
  <si>
    <t>DD</t>
  </si>
  <si>
    <t>Friedrich Carl</t>
  </si>
  <si>
    <t>Shinano</t>
  </si>
  <si>
    <t>Submarine Bait</t>
  </si>
  <si>
    <t>Blanc</t>
  </si>
  <si>
    <t>Blanny</t>
  </si>
  <si>
    <t>Neptunia</t>
  </si>
  <si>
    <t>McCall</t>
  </si>
  <si>
    <t>NEET Sister</t>
  </si>
  <si>
    <t>White Heart</t>
  </si>
  <si>
    <t>Hiryuu (Retrofit)</t>
  </si>
  <si>
    <t>Souryuu (Retrofit)</t>
  </si>
  <si>
    <t>Chitose</t>
  </si>
  <si>
    <t>CVL</t>
  </si>
  <si>
    <t>Chiyoda</t>
  </si>
  <si>
    <t>Matsukaze</t>
  </si>
  <si>
    <t>R</t>
  </si>
  <si>
    <t>Yuubari</t>
  </si>
  <si>
    <t>Little Cheshire</t>
  </si>
  <si>
    <t>Essex</t>
  </si>
  <si>
    <t>Atago</t>
  </si>
  <si>
    <t>Big Sister</t>
  </si>
  <si>
    <t>Takao</t>
  </si>
  <si>
    <t>Little Sister</t>
  </si>
  <si>
    <t>Indianapolis</t>
  </si>
  <si>
    <t>Indy</t>
  </si>
  <si>
    <t>Long Island (Retrofit)</t>
  </si>
  <si>
    <t>Minneapolis</t>
  </si>
  <si>
    <t>Erebus</t>
  </si>
  <si>
    <t>BM</t>
  </si>
  <si>
    <t>Friendly</t>
  </si>
  <si>
    <t>Javelin</t>
  </si>
  <si>
    <t>Neptune</t>
  </si>
  <si>
    <t>Saratoga</t>
  </si>
  <si>
    <t>Hakuryuu</t>
  </si>
  <si>
    <t>DR</t>
  </si>
  <si>
    <t>I-58</t>
  </si>
  <si>
    <t>Yukikaze</t>
  </si>
  <si>
    <t>Prince of Wales</t>
  </si>
  <si>
    <t>Sirius</t>
  </si>
  <si>
    <t>Ranger</t>
  </si>
  <si>
    <t>Vampire</t>
  </si>
  <si>
    <t>Impero</t>
  </si>
  <si>
    <t>Kazagumo</t>
  </si>
  <si>
    <t>Terror</t>
  </si>
  <si>
    <t>Brooklyn</t>
  </si>
  <si>
    <t>Vert</t>
  </si>
  <si>
    <t>Prototype Bulin MkII</t>
  </si>
  <si>
    <t>Enterprise</t>
  </si>
  <si>
    <t>Biloxi</t>
  </si>
  <si>
    <t>Unicorn</t>
  </si>
  <si>
    <t>Hatakaze</t>
  </si>
  <si>
    <t>Lung Wu</t>
  </si>
  <si>
    <t>Dragon Empery</t>
  </si>
  <si>
    <t>Kamikaze</t>
  </si>
  <si>
    <t>Kinugasa</t>
  </si>
  <si>
    <t>Nagato</t>
  </si>
  <si>
    <t>Poltava</t>
  </si>
  <si>
    <t>Yamashiro</t>
  </si>
  <si>
    <t>Ognevoy</t>
  </si>
  <si>
    <t>Belfast</t>
  </si>
  <si>
    <t>Izumo</t>
  </si>
  <si>
    <t>Kitakaze</t>
  </si>
  <si>
    <t>Königsberg</t>
  </si>
  <si>
    <t>Portland</t>
  </si>
  <si>
    <t>Noire</t>
  </si>
  <si>
    <t>Erebus META</t>
  </si>
  <si>
    <t>META E</t>
  </si>
  <si>
    <t>Naka</t>
  </si>
  <si>
    <t>Gridley</t>
  </si>
  <si>
    <t>Exeter</t>
  </si>
  <si>
    <t>San Diego</t>
  </si>
  <si>
    <t>Pensacola</t>
  </si>
  <si>
    <t>Kimberly META</t>
  </si>
  <si>
    <t>Northampton</t>
  </si>
  <si>
    <t>Admiral Graf Spee</t>
  </si>
  <si>
    <t>Chicago</t>
  </si>
  <si>
    <t>Universal Bulin</t>
  </si>
  <si>
    <t>Downes</t>
  </si>
  <si>
    <t>U-47</t>
  </si>
  <si>
    <t>U-101</t>
  </si>
  <si>
    <t>Houston</t>
  </si>
  <si>
    <t>Pennsylvania</t>
  </si>
  <si>
    <t>Yorktown</t>
  </si>
  <si>
    <t>Hanazuki</t>
  </si>
  <si>
    <t>Montepelier</t>
  </si>
  <si>
    <t>Shimanto</t>
  </si>
  <si>
    <t>Shangri-La</t>
  </si>
  <si>
    <t>Isokaze</t>
  </si>
  <si>
    <t>Intrepid</t>
  </si>
  <si>
    <t>Ryuuhou</t>
  </si>
  <si>
    <t>Sovetsky Soyuz</t>
  </si>
  <si>
    <t>Weser</t>
  </si>
  <si>
    <t>Mod Calc</t>
  </si>
  <si>
    <t>Mod Value</t>
  </si>
  <si>
    <t>BBV</t>
  </si>
  <si>
    <t>AR</t>
  </si>
  <si>
    <t>SSV</t>
  </si>
  <si>
    <t>AE</t>
  </si>
</sst>
</file>

<file path=xl/styles.xml><?xml version="1.0" encoding="utf-8"?>
<styleSheet xmlns="http://schemas.openxmlformats.org/spreadsheetml/2006/main">
  <numFmts count="1">
    <numFmt numFmtId="0" formatCode="General"/>
  </numFmts>
  <fonts count="7">
    <font>
      <sz val="10"/>
      <color indexed="8"/>
      <name val="Helvetica Neue"/>
    </font>
    <font>
      <sz val="12"/>
      <color indexed="8"/>
      <name val="Helvetica Neue"/>
    </font>
    <font>
      <b val="1"/>
      <sz val="10"/>
      <color indexed="8"/>
      <name val="Helvetica Neue"/>
    </font>
    <font>
      <b val="1"/>
      <sz val="10"/>
      <color indexed="20"/>
      <name val="Helvetica Neue"/>
    </font>
    <font>
      <b val="1"/>
      <sz val="10"/>
      <color indexed="21"/>
      <name val="Helvetica Neue"/>
    </font>
    <font>
      <b val="1"/>
      <sz val="10"/>
      <color indexed="13"/>
      <name val="Helvetica Neue"/>
    </font>
    <font>
      <sz val="10"/>
      <color indexed="13"/>
      <name val="Helvetica Neue"/>
    </font>
  </fonts>
  <fills count="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20"/>
        <bgColor auto="1"/>
      </patternFill>
    </fill>
    <fill>
      <patternFill patternType="solid">
        <fgColor indexed="21"/>
        <bgColor auto="1"/>
      </patternFill>
    </fill>
    <fill>
      <patternFill patternType="solid">
        <fgColor indexed="8"/>
        <bgColor auto="1"/>
      </patternFill>
    </fill>
    <fill>
      <patternFill patternType="solid">
        <fgColor indexed="22"/>
        <bgColor auto="1"/>
      </patternFill>
    </fill>
  </fills>
  <borders count="13">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color indexed="8"/>
      </right>
      <top>
        <color indexed="8"/>
      </top>
      <bottom>
        <color indexed="8"/>
      </bottom>
      <diagonal/>
    </border>
    <border>
      <left>
        <color indexed="8"/>
      </left>
      <right>
        <color indexed="8"/>
      </right>
      <top style="thin">
        <color indexed="10"/>
      </top>
      <bottom>
        <color indexed="8"/>
      </bottom>
      <diagonal/>
    </border>
    <border>
      <left>
        <color indexed="8"/>
      </left>
      <right>
        <color indexed="8"/>
      </right>
      <top>
        <color indexed="8"/>
      </top>
      <bottom style="thin">
        <color indexed="10"/>
      </bottom>
      <diagonal/>
    </border>
    <border>
      <left>
        <color indexed="8"/>
      </left>
      <right>
        <color indexed="8"/>
      </right>
      <top>
        <color indexed="8"/>
      </top>
      <bottom>
        <color indexed="8"/>
      </bottom>
      <diagonal/>
    </border>
    <border>
      <left>
        <color indexed="8"/>
      </left>
      <right style="thin">
        <color indexed="10"/>
      </right>
      <top>
        <color indexed="8"/>
      </top>
      <bottom>
        <color indexed="8"/>
      </bottom>
      <diagonal/>
    </border>
  </borders>
  <cellStyleXfs count="1">
    <xf numFmtId="0" fontId="0" applyNumberFormat="0" applyFont="1" applyFill="0" applyBorder="0" applyAlignment="1" applyProtection="0">
      <alignment vertical="top" wrapText="1"/>
    </xf>
  </cellStyleXfs>
  <cellXfs count="58">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left" vertical="center"/>
    </xf>
    <xf numFmtId="49" fontId="2" fillId="2" borderId="1" applyNumberFormat="1" applyFont="1" applyFill="1" applyBorder="1" applyAlignment="1" applyProtection="0">
      <alignment vertical="top" wrapText="1"/>
    </xf>
    <xf numFmtId="49" fontId="2" fillId="3" borderId="2" applyNumberFormat="1" applyFont="1" applyFill="1" applyBorder="1" applyAlignment="1" applyProtection="0">
      <alignment vertical="top" wrapText="1"/>
    </xf>
    <xf numFmtId="0" fontId="0" borderId="3" applyNumberFormat="1" applyFont="1" applyFill="0" applyBorder="1" applyAlignment="1" applyProtection="0">
      <alignment vertical="top" wrapText="1"/>
    </xf>
    <xf numFmtId="0" fontId="0" borderId="4" applyNumberFormat="1" applyFont="1" applyFill="0" applyBorder="1" applyAlignment="1" applyProtection="0">
      <alignment vertical="top" wrapText="1"/>
    </xf>
    <xf numFmtId="0" fontId="0" fillId="4" borderId="4" applyNumberFormat="1" applyFont="1" applyFill="1" applyBorder="1" applyAlignment="1" applyProtection="0">
      <alignment vertical="top" wrapText="1"/>
    </xf>
    <xf numFmtId="49" fontId="0" fillId="4" borderId="4" applyNumberFormat="1" applyFont="1" applyFill="1" applyBorder="1" applyAlignment="1" applyProtection="0">
      <alignment vertical="top" wrapText="1"/>
    </xf>
    <xf numFmtId="49" fontId="0" borderId="4" applyNumberFormat="1" applyFont="1" applyFill="0" applyBorder="1" applyAlignment="1" applyProtection="0">
      <alignment vertical="top" wrapText="1"/>
    </xf>
    <xf numFmtId="49" fontId="2" fillId="3" borderId="5" applyNumberFormat="1" applyFont="1" applyFill="1" applyBorder="1" applyAlignment="1" applyProtection="0">
      <alignment vertical="top" wrapText="1"/>
    </xf>
    <xf numFmtId="0" fontId="0" borderId="6" applyNumberFormat="1" applyFont="1" applyFill="0" applyBorder="1" applyAlignment="1" applyProtection="0">
      <alignment vertical="top" wrapText="1"/>
    </xf>
    <xf numFmtId="0" fontId="0" borderId="7" applyNumberFormat="1" applyFont="1" applyFill="0" applyBorder="1" applyAlignment="1" applyProtection="0">
      <alignment vertical="top" wrapText="1"/>
    </xf>
    <xf numFmtId="0" fontId="0" fillId="4" borderId="7" applyNumberFormat="1" applyFont="1" applyFill="1" applyBorder="1" applyAlignment="1" applyProtection="0">
      <alignment vertical="top" wrapText="1"/>
    </xf>
    <xf numFmtId="49" fontId="0" fillId="4" borderId="7" applyNumberFormat="1" applyFont="1" applyFill="1" applyBorder="1" applyAlignment="1" applyProtection="0">
      <alignment vertical="top" wrapText="1"/>
    </xf>
    <xf numFmtId="49" fontId="0" borderId="7"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fillId="5" borderId="3" applyNumberFormat="1" applyFont="1" applyFill="1" applyBorder="1" applyAlignment="1" applyProtection="0">
      <alignment vertical="top" wrapText="1"/>
    </xf>
    <xf numFmtId="0" fontId="0" fillId="6" borderId="6" applyNumberFormat="1" applyFont="1" applyFill="1" applyBorder="1" applyAlignment="1" applyProtection="0">
      <alignment vertical="top" wrapText="1"/>
    </xf>
    <xf numFmtId="0" fontId="0" fillId="5" borderId="6" applyNumberFormat="1" applyFont="1" applyFill="1"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borderId="3" applyNumberFormat="0" applyFont="1" applyFill="0" applyBorder="1" applyAlignment="1" applyProtection="0">
      <alignment vertical="top" wrapText="1"/>
    </xf>
    <xf numFmtId="0" fontId="0" borderId="6" applyNumberFormat="0" applyFont="1" applyFill="0" applyBorder="1" applyAlignment="1" applyProtection="0">
      <alignment vertical="top" wrapText="1"/>
    </xf>
    <xf numFmtId="49" fontId="0" borderId="6"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0" borderId="4" applyNumberFormat="0" applyFont="1" applyFill="0" applyBorder="1" applyAlignment="1" applyProtection="0">
      <alignment vertical="top" wrapText="1"/>
    </xf>
    <xf numFmtId="0" fontId="0" borderId="7" applyNumberFormat="0" applyFont="1" applyFill="0" applyBorder="1" applyAlignment="1" applyProtection="0">
      <alignment vertical="top" wrapText="1"/>
    </xf>
    <xf numFmtId="0" fontId="2" fillId="3" borderId="5" applyNumberFormat="0" applyFont="1" applyFill="1" applyBorder="1" applyAlignment="1" applyProtection="0">
      <alignment vertical="top" wrapText="1"/>
    </xf>
    <xf numFmtId="0" fontId="0" fillId="4" borderId="7" applyNumberFormat="0" applyFont="1" applyFill="1" applyBorder="1"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49" fontId="5" fillId="4" borderId="1" applyNumberFormat="1" applyFont="1" applyFill="1" applyBorder="1" applyAlignment="1" applyProtection="0">
      <alignment vertical="top" wrapText="1"/>
    </xf>
    <xf numFmtId="49" fontId="5" fillId="7" borderId="1" applyNumberFormat="1" applyFont="1" applyFill="1" applyBorder="1" applyAlignment="1" applyProtection="0">
      <alignment vertical="top" wrapText="1"/>
    </xf>
    <xf numFmtId="49" fontId="2" fillId="8" borderId="4" applyNumberFormat="1" applyFont="1" applyFill="1" applyBorder="1" applyAlignment="1" applyProtection="0">
      <alignment vertical="top" wrapText="1"/>
    </xf>
    <xf numFmtId="49" fontId="2" fillId="8" borderId="2" applyNumberFormat="1" applyFont="1" applyFill="1" applyBorder="1" applyAlignment="1" applyProtection="0">
      <alignment vertical="top" wrapText="1"/>
    </xf>
    <xf numFmtId="49" fontId="0" fillId="4" borderId="3" applyNumberFormat="1" applyFont="1" applyFill="1" applyBorder="1" applyAlignment="1" applyProtection="0">
      <alignment vertical="top" wrapText="1"/>
    </xf>
    <xf numFmtId="0" fontId="0" fillId="5" borderId="4" applyNumberFormat="1" applyFont="1" applyFill="1" applyBorder="1" applyAlignment="1" applyProtection="0">
      <alignment vertical="top" wrapText="1"/>
    </xf>
    <xf numFmtId="0" fontId="6" fillId="4" borderId="4" applyNumberFormat="0" applyFont="1" applyFill="1" applyBorder="1" applyAlignment="1" applyProtection="0">
      <alignment vertical="top" wrapText="1"/>
    </xf>
    <xf numFmtId="0" fontId="6" fillId="7" borderId="4" applyNumberFormat="1" applyFont="1" applyFill="1" applyBorder="1" applyAlignment="1" applyProtection="0">
      <alignment vertical="top" wrapText="1"/>
    </xf>
    <xf numFmtId="49" fontId="2" fillId="8" borderId="7" applyNumberFormat="1" applyFont="1" applyFill="1" applyBorder="1" applyAlignment="1" applyProtection="0">
      <alignment vertical="top" wrapText="1"/>
    </xf>
    <xf numFmtId="49" fontId="2" fillId="8" borderId="5" applyNumberFormat="1" applyFont="1" applyFill="1" applyBorder="1" applyAlignment="1" applyProtection="0">
      <alignment vertical="top" wrapText="1"/>
    </xf>
    <xf numFmtId="49" fontId="0" fillId="4" borderId="6" applyNumberFormat="1" applyFont="1" applyFill="1" applyBorder="1" applyAlignment="1" applyProtection="0">
      <alignment vertical="top" wrapText="1"/>
    </xf>
    <xf numFmtId="0" fontId="0" fillId="5" borderId="7" applyNumberFormat="1" applyFont="1" applyFill="1" applyBorder="1" applyAlignment="1" applyProtection="0">
      <alignment vertical="top" wrapText="1"/>
    </xf>
    <xf numFmtId="0" fontId="6" fillId="4" borderId="7" applyNumberFormat="0" applyFont="1" applyFill="1" applyBorder="1" applyAlignment="1" applyProtection="0">
      <alignment vertical="top" wrapText="1"/>
    </xf>
    <xf numFmtId="0" fontId="6" fillId="7" borderId="7" applyNumberFormat="1" applyFont="1" applyFill="1" applyBorder="1" applyAlignment="1" applyProtection="0">
      <alignment vertical="top" wrapText="1"/>
    </xf>
    <xf numFmtId="0" fontId="2" fillId="8" borderId="5" applyNumberFormat="0" applyFont="1" applyFill="1" applyBorder="1" applyAlignment="1" applyProtection="0">
      <alignment vertical="top" wrapText="1"/>
    </xf>
    <xf numFmtId="0" fontId="0" fillId="5" borderId="7" applyNumberFormat="0" applyFont="1" applyFill="1" applyBorder="1" applyAlignment="1" applyProtection="0">
      <alignment vertical="top" wrapText="1"/>
    </xf>
    <xf numFmtId="0" fontId="0" applyNumberFormat="1" applyFont="1" applyFill="0" applyBorder="0" applyAlignment="1" applyProtection="0">
      <alignment vertical="top" wrapText="1"/>
    </xf>
    <xf numFmtId="0" fontId="0" borderId="8" applyNumberFormat="0" applyFont="1" applyFill="0" applyBorder="1" applyAlignment="1" applyProtection="0">
      <alignment vertical="top" wrapText="1"/>
    </xf>
    <xf numFmtId="0" fontId="0" borderId="9" applyNumberFormat="0" applyFont="1" applyFill="0" applyBorder="1" applyAlignment="1" applyProtection="0">
      <alignment vertical="top" wrapText="1"/>
    </xf>
    <xf numFmtId="49" fontId="1" borderId="10" applyNumberFormat="1" applyFont="1" applyFill="0" applyBorder="1" applyAlignment="1" applyProtection="0">
      <alignment vertical="top" wrapText="1"/>
    </xf>
    <xf numFmtId="0" fontId="6" borderId="11" applyNumberFormat="1" applyFont="1" applyFill="0" applyBorder="1" applyAlignment="1" applyProtection="0">
      <alignment vertical="top" wrapText="1"/>
    </xf>
    <xf numFmtId="0" fontId="6" borderId="12" applyNumberFormat="1" applyFont="1" applyFill="0" applyBorder="1"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231">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ont>
        <color rgb="ff000000"/>
      </font>
      <fill>
        <patternFill patternType="solid">
          <fgColor indexed="14"/>
          <bgColor indexed="16"/>
        </patternFill>
      </fill>
    </dxf>
    <dxf>
      <fill>
        <patternFill patternType="solid">
          <fgColor indexed="14"/>
          <bgColor indexed="19"/>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ill>
        <patternFill patternType="solid">
          <fgColor indexed="14"/>
          <bgColor indexed="22"/>
        </patternFill>
      </fill>
    </dxf>
    <dxf>
      <fill>
        <patternFill patternType="solid">
          <fgColor indexed="14"/>
          <bgColor indexed="19"/>
        </patternFill>
      </fill>
    </dxf>
    <dxf>
      <fill>
        <patternFill patternType="solid">
          <fgColor indexed="14"/>
          <bgColor indexed="21"/>
        </patternFill>
      </fill>
    </dxf>
    <dxf>
      <font>
        <color rgb="ff000000"/>
      </font>
      <fill>
        <patternFill patternType="solid">
          <fgColor indexed="14"/>
          <bgColor indexed="16"/>
        </patternFill>
      </fill>
    </dxf>
    <dxf>
      <fill>
        <patternFill patternType="solid">
          <fgColor indexed="14"/>
          <bgColor indexed="20"/>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16"/>
        </patternFill>
      </fill>
    </dxf>
    <dxf>
      <fill>
        <patternFill patternType="solid">
          <fgColor indexed="14"/>
          <bgColor indexed="19"/>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ill>
        <patternFill patternType="solid">
          <fgColor indexed="14"/>
          <bgColor indexed="21"/>
        </patternFill>
      </fill>
    </dxf>
    <dxf>
      <font>
        <color rgb="ff000000"/>
      </font>
      <fill>
        <patternFill patternType="solid">
          <fgColor indexed="14"/>
          <bgColor indexed="15"/>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ont>
        <color rgb="ff000000"/>
      </font>
      <fill>
        <patternFill patternType="solid">
          <fgColor indexed="14"/>
          <bgColor indexed="16"/>
        </patternFill>
      </fill>
    </dxf>
    <dxf>
      <fill>
        <patternFill patternType="solid">
          <fgColor indexed="14"/>
          <bgColor indexed="19"/>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23"/>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9"/>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23"/>
        </patternFill>
      </fill>
    </dxf>
    <dxf>
      <font>
        <color rgb="ff000000"/>
      </font>
      <fill>
        <patternFill patternType="solid">
          <fgColor indexed="14"/>
          <bgColor indexed="15"/>
        </patternFill>
      </fill>
    </dxf>
    <dxf>
      <fill>
        <patternFill patternType="solid">
          <fgColor indexed="14"/>
          <bgColor indexed="17"/>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ont>
        <color rgb="ff000000"/>
      </font>
      <fill>
        <patternFill patternType="solid">
          <fgColor indexed="14"/>
          <bgColor indexed="16"/>
        </patternFill>
      </fill>
    </dxf>
    <dxf>
      <fill>
        <patternFill patternType="solid">
          <fgColor indexed="14"/>
          <bgColor indexed="19"/>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23"/>
        </patternFill>
      </fill>
    </dxf>
    <dxf>
      <font>
        <color rgb="ff000000"/>
      </font>
      <fill>
        <patternFill patternType="solid">
          <fgColor indexed="14"/>
          <bgColor indexed="15"/>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ont>
        <color rgb="ff000000"/>
      </font>
      <fill>
        <patternFill patternType="solid">
          <fgColor indexed="14"/>
          <bgColor indexed="16"/>
        </patternFill>
      </fill>
    </dxf>
    <dxf>
      <fill>
        <patternFill patternType="solid">
          <fgColor indexed="14"/>
          <bgColor indexed="19"/>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23"/>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9"/>
        </patternFill>
      </fill>
    </dxf>
    <dxf>
      <fill>
        <patternFill patternType="solid">
          <fgColor indexed="14"/>
          <bgColor indexed="20"/>
        </patternFill>
      </fill>
    </dxf>
    <dxf>
      <fill>
        <patternFill patternType="solid">
          <fgColor indexed="14"/>
          <bgColor indexed="21"/>
        </patternFill>
      </fill>
    </dxf>
    <dxf>
      <font>
        <color rgb="ff000000"/>
      </font>
      <fill>
        <patternFill patternType="solid">
          <fgColor indexed="14"/>
          <bgColor indexed="23"/>
        </patternFill>
      </fill>
    </dxf>
    <dxf>
      <font>
        <color rgb="ff000000"/>
      </font>
      <fill>
        <patternFill patternType="solid">
          <fgColor indexed="14"/>
          <bgColor indexed="15"/>
        </patternFill>
      </fill>
    </dxf>
    <dxf>
      <fill>
        <patternFill patternType="solid">
          <fgColor indexed="14"/>
          <bgColor indexed="17"/>
        </patternFill>
      </fill>
    </dxf>
    <dxf>
      <font>
        <color rgb="fffefffe"/>
      </font>
      <fill>
        <patternFill patternType="solid">
          <fgColor indexed="14"/>
          <bgColor indexed="13"/>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ill>
        <patternFill patternType="solid">
          <fgColor indexed="14"/>
          <bgColor indexed="22"/>
        </patternFill>
      </fill>
    </dxf>
    <dxf>
      <fill>
        <patternFill patternType="solid">
          <fgColor indexed="14"/>
          <bgColor indexed="22"/>
        </patternFill>
      </fill>
    </dxf>
    <dxf>
      <font>
        <color rgb="fffefffe"/>
      </font>
      <fill>
        <patternFill patternType="solid">
          <fgColor indexed="14"/>
          <bgColor indexed="13"/>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ill>
        <patternFill patternType="solid">
          <fgColor indexed="14"/>
          <bgColor indexed="22"/>
        </patternFill>
      </fill>
    </dxf>
    <dxf>
      <fill>
        <patternFill patternType="solid">
          <fgColor indexed="14"/>
          <bgColor indexed="22"/>
        </patternFill>
      </fill>
    </dxf>
    <dxf>
      <fill>
        <patternFill patternType="solid">
          <fgColor indexed="14"/>
          <bgColor indexed="19"/>
        </patternFill>
      </fill>
    </dxf>
    <dxf>
      <fill>
        <patternFill patternType="solid">
          <fgColor indexed="14"/>
          <bgColor indexed="24"/>
        </patternFill>
      </fill>
    </dxf>
    <dxf>
      <font>
        <color rgb="ff000000"/>
      </font>
      <fill>
        <patternFill patternType="solid">
          <fgColor indexed="14"/>
          <bgColor indexed="25"/>
        </patternFill>
      </fill>
    </dxf>
    <dxf>
      <fill>
        <patternFill patternType="solid">
          <fgColor indexed="14"/>
          <bgColor indexed="26"/>
        </patternFill>
      </fill>
    </dxf>
    <dxf>
      <font>
        <color rgb="ff000000"/>
      </font>
      <fill>
        <patternFill patternType="solid">
          <fgColor indexed="14"/>
          <bgColor indexed="15"/>
        </patternFill>
      </fill>
    </dxf>
    <dxf>
      <fill>
        <patternFill patternType="solid">
          <fgColor indexed="14"/>
          <bgColor indexed="20"/>
        </patternFill>
      </fill>
    </dxf>
    <dxf>
      <font>
        <color rgb="ff000000"/>
      </font>
      <fill>
        <patternFill patternType="solid">
          <fgColor indexed="14"/>
          <bgColor indexed="15"/>
        </patternFill>
      </fill>
    </dxf>
    <dxf>
      <font>
        <color rgb="ff000000"/>
      </font>
      <fill>
        <patternFill patternType="solid">
          <fgColor indexed="14"/>
          <bgColor indexed="16"/>
        </patternFill>
      </fill>
    </dxf>
    <dxf>
      <font>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16"/>
        </patternFill>
      </fill>
    </dxf>
    <dxf>
      <font>
        <color rgb="ff000000"/>
      </font>
      <fill>
        <patternFill patternType="solid">
          <fgColor indexed="14"/>
          <bgColor indexed="23"/>
        </patternFill>
      </fill>
    </dxf>
    <dxf>
      <font>
        <color rgb="ff000000"/>
      </font>
      <fill>
        <patternFill patternType="solid">
          <fgColor indexed="14"/>
          <bgColor indexed="26"/>
        </patternFill>
      </fill>
    </dxf>
    <dxf>
      <font>
        <color rgb="ff000000"/>
      </font>
      <fill>
        <patternFill patternType="solid">
          <fgColor indexed="14"/>
          <bgColor indexed="27"/>
        </patternFill>
      </fill>
    </dxf>
    <dxf>
      <font>
        <color rgb="ff000000"/>
      </font>
      <fill>
        <patternFill patternType="solid">
          <fgColor indexed="14"/>
          <bgColor indexed="28"/>
        </patternFill>
      </fill>
    </dxf>
    <dxf>
      <font>
        <color rgb="ff000000"/>
      </font>
      <fill>
        <patternFill patternType="solid">
          <fgColor indexed="14"/>
          <bgColor indexed="29"/>
        </patternFill>
      </fill>
    </dxf>
    <dxf>
      <font>
        <color rgb="ff000000"/>
      </font>
      <fill>
        <patternFill patternType="solid">
          <fgColor indexed="14"/>
          <bgColor indexed="16"/>
        </patternFill>
      </fill>
    </dxf>
    <dxf>
      <font>
        <color rgb="ff000000"/>
      </font>
      <fill>
        <patternFill patternType="solid">
          <fgColor indexed="14"/>
          <bgColor indexed="20"/>
        </patternFill>
      </fill>
    </dxf>
    <dxf>
      <font>
        <color rgb="ff000000"/>
      </font>
      <fill>
        <patternFill patternType="solid">
          <fgColor indexed="14"/>
          <bgColor indexed="30"/>
        </patternFill>
      </fill>
    </dxf>
    <dxf>
      <font>
        <color rgb="ff000000"/>
      </font>
      <fill>
        <patternFill patternType="solid">
          <fgColor indexed="14"/>
          <bgColor indexed="30"/>
        </patternFill>
      </fill>
    </dxf>
    <dxf>
      <font>
        <color rgb="ff000000"/>
      </font>
      <fill>
        <patternFill patternType="solid">
          <fgColor indexed="14"/>
          <bgColor indexed="31"/>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25"/>
        </patternFill>
      </fill>
    </dxf>
    <dxf>
      <font>
        <color rgb="ff000000"/>
      </font>
      <fill>
        <patternFill patternType="solid">
          <fgColor indexed="14"/>
          <bgColor indexed="15"/>
        </patternFill>
      </fill>
    </dxf>
    <dxf>
      <font>
        <color rgb="ff000000"/>
      </font>
      <fill>
        <patternFill patternType="solid">
          <fgColor indexed="14"/>
          <bgColor indexed="15"/>
        </patternFill>
      </fill>
    </dxf>
    <dxf>
      <font>
        <color rgb="ff000000"/>
      </font>
      <fill>
        <patternFill patternType="solid">
          <fgColor indexed="14"/>
          <bgColor indexed="25"/>
        </patternFill>
      </fill>
    </dxf>
    <dxf>
      <font>
        <color rgb="ff000000"/>
      </font>
      <fill>
        <patternFill patternType="solid">
          <fgColor indexed="14"/>
          <bgColor indexed="16"/>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ont>
        <color rgb="ff000000"/>
      </font>
      <fill>
        <patternFill patternType="solid">
          <fgColor indexed="14"/>
          <bgColor indexed="22"/>
        </patternFill>
      </fill>
    </dxf>
    <dxf>
      <font>
        <color rgb="ff000000"/>
      </font>
      <fill>
        <patternFill patternType="solid">
          <fgColor indexed="14"/>
          <bgColor indexed="32"/>
        </patternFill>
      </fill>
    </dxf>
    <dxf>
      <font>
        <color rgb="ff000000"/>
      </font>
      <fill>
        <patternFill patternType="solid">
          <fgColor indexed="14"/>
          <bgColor indexed="26"/>
        </patternFill>
      </fill>
    </dxf>
    <dxf>
      <font>
        <color rgb="ff000000"/>
      </font>
      <fill>
        <patternFill patternType="solid">
          <fgColor indexed="14"/>
          <bgColor indexed="21"/>
        </patternFill>
      </fill>
    </dxf>
    <dxf>
      <font>
        <color rgb="ff000000"/>
      </font>
      <fill>
        <patternFill patternType="solid">
          <fgColor indexed="14"/>
          <bgColor indexed="33"/>
        </patternFill>
      </fill>
    </dxf>
    <dxf>
      <font>
        <color rgb="ff000000"/>
      </font>
      <fill>
        <patternFill patternType="solid">
          <fgColor indexed="14"/>
          <bgColor indexed="30"/>
        </patternFill>
      </fill>
    </dxf>
    <dxf>
      <font>
        <color rgb="ff000000"/>
      </font>
      <fill>
        <patternFill patternType="solid">
          <fgColor indexed="14"/>
          <bgColor indexed="34"/>
        </patternFill>
      </fill>
    </dxf>
    <dxf>
      <font>
        <color rgb="ff000000"/>
      </font>
      <fill>
        <patternFill patternType="solid">
          <fgColor indexed="14"/>
          <bgColor indexed="35"/>
        </patternFill>
      </fill>
    </dxf>
    <dxf>
      <font>
        <color rgb="ff000000"/>
      </font>
      <fill>
        <patternFill patternType="solid">
          <fgColor indexed="14"/>
          <bgColor indexed="28"/>
        </patternFill>
      </fill>
    </dxf>
    <dxf>
      <font>
        <color rgb="ff000000"/>
      </font>
      <fill>
        <patternFill patternType="solid">
          <fgColor indexed="14"/>
          <bgColor indexed="36"/>
        </patternFill>
      </fill>
    </dxf>
    <dxf>
      <font>
        <color rgb="ff000000"/>
      </font>
      <fill>
        <patternFill patternType="solid">
          <fgColor indexed="14"/>
          <bgColor indexed="20"/>
        </patternFill>
      </fill>
    </dxf>
    <dxf>
      <fill>
        <patternFill patternType="solid">
          <fgColor indexed="14"/>
          <bgColor indexed="21"/>
        </patternFill>
      </fill>
    </dxf>
    <dxf>
      <fill>
        <patternFill patternType="solid">
          <fgColor indexed="14"/>
          <bgColor indexed="30"/>
        </patternFill>
      </fill>
    </dxf>
    <dxf>
      <fill>
        <patternFill patternType="solid">
          <fgColor indexed="14"/>
          <bgColor indexed="20"/>
        </patternFill>
      </fill>
    </dxf>
    <dxf>
      <font>
        <color rgb="ff000000"/>
      </font>
      <fill>
        <patternFill patternType="solid">
          <fgColor indexed="14"/>
          <bgColor indexed="18"/>
        </patternFill>
      </fill>
    </dxf>
    <dxf>
      <font>
        <color rgb="ff000000"/>
      </font>
      <fill>
        <patternFill patternType="solid">
          <fgColor indexed="14"/>
          <bgColor indexed="25"/>
        </patternFill>
      </fill>
    </dxf>
    <dxf>
      <font>
        <color rgb="ff000000"/>
      </font>
      <fill>
        <patternFill patternType="solid">
          <fgColor indexed="14"/>
          <bgColor indexed="16"/>
        </patternFill>
      </fill>
    </dxf>
    <dxf>
      <font>
        <color rgb="ff000000"/>
      </font>
      <fill>
        <patternFill patternType="solid">
          <fgColor indexed="14"/>
          <bgColor indexed="23"/>
        </patternFill>
      </fill>
    </dxf>
    <dxf>
      <font>
        <color rgb="ff000000"/>
      </font>
      <fill>
        <patternFill patternType="solid">
          <fgColor indexed="14"/>
          <bgColor indexed="37"/>
        </patternFill>
      </fill>
    </dxf>
    <dxf>
      <fill>
        <patternFill patternType="solid">
          <fgColor indexed="14"/>
          <bgColor indexed="19"/>
        </patternFill>
      </fill>
    </dxf>
    <dxf>
      <fill>
        <patternFill patternType="solid">
          <fgColor indexed="14"/>
          <bgColor indexed="33"/>
        </patternFill>
      </fill>
    </dxf>
    <dxf>
      <fill>
        <patternFill patternType="solid">
          <fgColor indexed="14"/>
          <bgColor indexed="20"/>
        </patternFill>
      </fill>
    </dxf>
    <dxf>
      <fill>
        <patternFill patternType="solid">
          <fgColor indexed="14"/>
          <bgColor indexed="26"/>
        </patternFill>
      </fill>
    </dxf>
    <dxf>
      <fill>
        <patternFill patternType="solid">
          <fgColor indexed="14"/>
          <bgColor indexed="38"/>
        </patternFill>
      </fill>
    </dxf>
    <dxf>
      <fill>
        <patternFill patternType="solid">
          <fgColor indexed="14"/>
          <bgColor indexed="36"/>
        </patternFill>
      </fill>
    </dxf>
    <dxf>
      <fill>
        <patternFill patternType="solid">
          <fgColor indexed="14"/>
          <bgColor indexed="39"/>
        </patternFill>
      </fill>
    </dxf>
    <dxf>
      <font>
        <color rgb="ff000000"/>
      </font>
      <fill>
        <patternFill patternType="solid">
          <fgColor indexed="14"/>
          <bgColor indexed="16"/>
        </patternFill>
      </fill>
    </dxf>
    <dxf>
      <font>
        <color rgb="ff000000"/>
      </font>
      <fill>
        <patternFill patternType="solid">
          <fgColor indexed="14"/>
          <bgColor indexed="23"/>
        </patternFill>
      </fill>
    </dxf>
    <dxf>
      <font>
        <color rgb="ff000000"/>
      </font>
      <fill>
        <patternFill patternType="solid">
          <fgColor indexed="14"/>
          <bgColor indexed="15"/>
        </patternFill>
      </fill>
    </dxf>
    <dxf>
      <font>
        <color rgb="ff000000"/>
      </font>
      <fill>
        <patternFill patternType="solid">
          <fgColor indexed="14"/>
          <bgColor indexed="37"/>
        </patternFill>
      </fill>
    </dxf>
    <dxf>
      <fill>
        <patternFill patternType="solid">
          <fgColor indexed="14"/>
          <bgColor indexed="40"/>
        </patternFill>
      </fill>
    </dxf>
    <dxf>
      <font>
        <color rgb="ff000000"/>
      </font>
      <fill>
        <patternFill patternType="solid">
          <fgColor indexed="14"/>
          <bgColor indexed="18"/>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b val="1"/>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23"/>
        </patternFill>
      </fill>
    </dxf>
    <dxf>
      <font>
        <color rgb="ff000000"/>
      </font>
      <fill>
        <patternFill patternType="solid">
          <fgColor indexed="14"/>
          <bgColor indexed="25"/>
        </patternFill>
      </fill>
    </dxf>
    <dxf>
      <font>
        <color rgb="fffefffe"/>
      </font>
      <fill>
        <patternFill patternType="solid">
          <fgColor indexed="14"/>
          <bgColor indexed="13"/>
        </patternFill>
      </fill>
    </dxf>
    <dxf>
      <font>
        <color rgb="ff000000"/>
      </font>
      <fill>
        <patternFill patternType="solid">
          <fgColor indexed="14"/>
          <bgColor indexed="18"/>
        </patternFill>
      </fill>
    </dxf>
    <dxf>
      <font>
        <color rgb="ff000000"/>
      </font>
      <fill>
        <patternFill patternType="solid">
          <fgColor indexed="14"/>
          <bgColor indexed="15"/>
        </patternFill>
      </fill>
    </dxf>
    <dxf>
      <font>
        <color rgb="ff000000"/>
      </font>
      <fill>
        <patternFill patternType="solid">
          <fgColor indexed="14"/>
          <bgColor indexed="23"/>
        </patternFill>
      </fill>
    </dxf>
    <dxf>
      <font>
        <color rgb="ff000000"/>
      </font>
      <fill>
        <patternFill patternType="solid">
          <fgColor indexed="14"/>
          <bgColor indexed="16"/>
        </patternFill>
      </fill>
    </dxf>
    <dxf>
      <font>
        <color rgb="ff000000"/>
      </font>
      <fill>
        <patternFill patternType="solid">
          <fgColor indexed="14"/>
          <bgColor indexed="37"/>
        </patternFill>
      </fill>
    </dxf>
    <dxf>
      <font>
        <color rgb="ff000000"/>
      </font>
      <fill>
        <patternFill patternType="solid">
          <fgColor indexed="14"/>
          <bgColor indexed="25"/>
        </patternFill>
      </fill>
    </dxf>
    <dxf>
      <font>
        <color rgb="fffefffe"/>
      </font>
      <fill>
        <patternFill patternType="solid">
          <fgColor indexed="14"/>
          <bgColor indexed="13"/>
        </patternFill>
      </fill>
    </dxf>
    <dxf>
      <font>
        <color rgb="ff000000"/>
      </font>
      <fill>
        <patternFill patternType="solid">
          <fgColor indexed="14"/>
          <bgColor indexed="25"/>
        </patternFill>
      </fill>
    </dxf>
    <dxf>
      <font>
        <color rgb="ff000000"/>
      </font>
      <fill>
        <patternFill patternType="solid">
          <fgColor indexed="14"/>
          <bgColor indexed="37"/>
        </patternFill>
      </fill>
    </dxf>
    <dxf>
      <font>
        <color rgb="ff000000"/>
      </font>
      <fill>
        <patternFill patternType="solid">
          <fgColor indexed="14"/>
          <bgColor indexed="16"/>
        </patternFill>
      </fill>
    </dxf>
    <dxf>
      <font>
        <color rgb="ff000000"/>
      </font>
      <fill>
        <patternFill patternType="solid">
          <fgColor indexed="14"/>
          <bgColor indexed="23"/>
        </patternFill>
      </fill>
    </dxf>
    <dxf>
      <font>
        <color rgb="ff000000"/>
      </font>
      <fill>
        <patternFill patternType="solid">
          <fgColor indexed="14"/>
          <bgColor indexed="15"/>
        </patternFill>
      </fill>
    </dxf>
    <dxf>
      <font>
        <color rgb="ff000000"/>
      </font>
      <fill>
        <patternFill patternType="solid">
          <fgColor indexed="14"/>
          <bgColor indexed="18"/>
        </patternFill>
      </fill>
    </dxf>
    <dxf>
      <font>
        <color rgb="fffefffe"/>
      </font>
      <fill>
        <patternFill patternType="solid">
          <fgColor indexed="14"/>
          <bgColor indexed="13"/>
        </patternFill>
      </fill>
    </dxf>
    <dxf>
      <font>
        <color rgb="fffefffe"/>
      </font>
      <fill>
        <patternFill patternType="solid">
          <fgColor indexed="14"/>
          <bgColor indexed="13"/>
        </patternFill>
      </fill>
    </dxf>
    <dxf>
      <font>
        <color rgb="ff000000"/>
      </font>
      <fill>
        <patternFill patternType="solid">
          <fgColor indexed="14"/>
          <bgColor indexed="25"/>
        </patternFill>
      </fill>
    </dxf>
    <dxf>
      <font>
        <b val="1"/>
        <color rgb="fffefffe"/>
      </font>
      <fill>
        <patternFill patternType="solid">
          <fgColor indexed="14"/>
          <bgColor indexed="13"/>
        </patternFill>
      </fill>
    </dxf>
    <dxf>
      <font>
        <color rgb="ff000000"/>
      </font>
      <fill>
        <patternFill patternType="solid">
          <fgColor indexed="14"/>
          <bgColor indexed="25"/>
        </patternFill>
      </fill>
    </dxf>
    <dxf>
      <font>
        <color rgb="ff000000"/>
      </font>
      <fill>
        <patternFill patternType="solid">
          <fgColor indexed="14"/>
          <bgColor indexed="15"/>
        </patternFill>
      </fill>
    </dxf>
    <dxf>
      <font>
        <color rgb="ff000000"/>
      </font>
      <fill>
        <patternFill patternType="solid">
          <fgColor indexed="14"/>
          <bgColor indexed="16"/>
        </patternFill>
      </fill>
    </dxf>
    <dxf>
      <fill>
        <patternFill patternType="solid">
          <fgColor indexed="14"/>
          <bgColor indexed="17"/>
        </patternFill>
      </fill>
    </dxf>
    <dxf>
      <font>
        <color rgb="ff000000"/>
      </font>
      <fill>
        <patternFill patternType="solid">
          <fgColor indexed="14"/>
          <bgColor indexed="18"/>
        </patternFill>
      </fill>
    </dxf>
    <dxf>
      <fill>
        <patternFill patternType="solid">
          <fgColor indexed="14"/>
          <bgColor indexed="22"/>
        </patternFill>
      </fill>
    </dxf>
    <dxf>
      <font>
        <color rgb="ff000000"/>
      </font>
      <fill>
        <patternFill patternType="solid">
          <fgColor indexed="14"/>
          <bgColor indexed="22"/>
        </patternFill>
      </fill>
    </dxf>
    <dxf>
      <font>
        <color rgb="ff000000"/>
      </font>
      <fill>
        <patternFill patternType="solid">
          <fgColor indexed="14"/>
          <bgColor indexed="18"/>
        </patternFill>
      </fill>
    </dxf>
    <dxf>
      <font>
        <color rgb="ff000000"/>
      </font>
      <fill>
        <patternFill patternType="solid">
          <fgColor indexed="14"/>
          <bgColor indexed="17"/>
        </patternFill>
      </fill>
    </dxf>
    <dxf>
      <font>
        <color rgb="ff000000"/>
      </font>
      <fill>
        <patternFill patternType="solid">
          <fgColor indexed="14"/>
          <bgColor indexed="16"/>
        </patternFill>
      </fill>
    </dxf>
  </dxfs>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fffefffe"/>
      <rgbColor rgb="00000000"/>
      <rgbColor rgb="e598efea"/>
      <rgbColor rgb="e5fffc98"/>
      <rgbColor rgb="ffd31876"/>
      <rgbColor rgb="e588ccff"/>
      <rgbColor rgb="ffff94ca"/>
      <rgbColor rgb="ffed220b"/>
      <rgbColor rgb="ff00a1fe"/>
      <rgbColor rgb="ffd5d5d5"/>
      <rgbColor rgb="e5afe489"/>
      <rgbColor rgb="fffe634d"/>
      <rgbColor rgb="e5ff9781"/>
      <rgbColor rgb="ff0075b9"/>
      <rgbColor rgb="ff56c1fe"/>
      <rgbColor rgb="fffdad00"/>
      <rgbColor rgb="ffffd931"/>
      <rgbColor rgb="ff60d836"/>
      <rgbColor rgb="ffb41700"/>
      <rgbColor rgb="ffff42a1"/>
      <rgbColor rgb="ff72fce9"/>
      <rgbColor rgb="ff88f94e"/>
      <rgbColor rgb="fffff056"/>
      <rgbColor rgb="fff27100"/>
      <rgbColor rgb="e5ffd38a"/>
      <rgbColor rgb="ff960d52"/>
      <rgbColor rgb="ff006b65"/>
      <rgbColor rgb="ffff968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2:Q11"/>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22.9141" style="1" customWidth="1"/>
    <col min="2" max="2" width="8.11719" style="1" customWidth="1"/>
    <col min="3" max="3" width="6.40625" style="1" customWidth="1"/>
    <col min="4" max="4" width="15.0781" style="1" customWidth="1"/>
    <col min="5" max="5" width="9.40625" style="1" customWidth="1"/>
    <col min="6" max="6" width="4.90625" style="1" customWidth="1"/>
    <col min="7" max="7" width="5.07812" style="1" customWidth="1"/>
    <col min="8" max="8" width="4.72656" style="1" customWidth="1"/>
    <col min="9" max="10" width="9.07812" style="1" customWidth="1"/>
    <col min="11" max="11" width="9.94531" style="1" customWidth="1"/>
    <col min="12" max="14" width="13.2266" style="1" customWidth="1"/>
    <col min="15" max="15" width="12.4062" style="1" customWidth="1"/>
    <col min="16" max="16" width="8.90625" style="1" customWidth="1"/>
    <col min="17" max="17" width="5.22656" style="1" customWidth="1"/>
    <col min="18" max="16384" width="16.3516" style="1" customWidth="1"/>
  </cols>
  <sheetData>
    <row r="1" ht="27.65" customHeight="1">
      <c r="A1" t="s" s="2">
        <v>0</v>
      </c>
      <c r="B1" s="2"/>
      <c r="C1" s="2"/>
      <c r="D1" s="2"/>
      <c r="E1" s="2"/>
      <c r="F1" s="2"/>
      <c r="G1" s="2"/>
      <c r="H1" s="2"/>
      <c r="I1" s="2"/>
      <c r="J1" s="2"/>
      <c r="K1" s="2"/>
      <c r="L1" s="2"/>
      <c r="M1" s="2"/>
      <c r="N1" s="2"/>
      <c r="O1" s="2"/>
      <c r="P1" s="2"/>
      <c r="Q1" s="2"/>
    </row>
    <row r="2" ht="20.25" customHeight="1">
      <c r="A2" t="s" s="3">
        <v>1</v>
      </c>
      <c r="B2" t="s" s="3">
        <v>2</v>
      </c>
      <c r="C2" t="s" s="3">
        <v>3</v>
      </c>
      <c r="D2" t="s" s="3">
        <v>4</v>
      </c>
      <c r="E2" t="s" s="3">
        <v>5</v>
      </c>
      <c r="F2" t="s" s="3">
        <v>6</v>
      </c>
      <c r="G2" t="s" s="3">
        <v>7</v>
      </c>
      <c r="H2" t="s" s="3">
        <v>8</v>
      </c>
      <c r="I2" t="s" s="3">
        <v>9</v>
      </c>
      <c r="J2" t="s" s="3">
        <v>10</v>
      </c>
      <c r="K2" t="s" s="3">
        <v>11</v>
      </c>
      <c r="L2" t="s" s="3">
        <v>12</v>
      </c>
      <c r="M2" t="s" s="3">
        <v>13</v>
      </c>
      <c r="N2" t="s" s="3">
        <v>14</v>
      </c>
      <c r="O2" t="s" s="3">
        <v>15</v>
      </c>
      <c r="P2" t="s" s="3">
        <v>16</v>
      </c>
      <c r="Q2" t="s" s="3">
        <v>17</v>
      </c>
    </row>
    <row r="3" ht="20.25" customHeight="1">
      <c r="A3" t="s" s="4">
        <v>18</v>
      </c>
      <c r="B3" s="5">
        <f>52*3</f>
        <v>156</v>
      </c>
      <c r="C3" s="6">
        <f>ROUNDDOWN((B3*ROUNDDOWN(90/E3,0))*H3,0)</f>
        <v>936</v>
      </c>
      <c r="D3" s="6">
        <f>ROUNDDOWN(((I3*ROUNDDOWN(5/L3,0))+(J3*ROUNDDOWN(5/M3,0))+(K3*ROUNDDOWN(5/N3,0)))*H3,0)</f>
        <v>252</v>
      </c>
      <c r="E3" s="6">
        <v>13.77</v>
      </c>
      <c r="F3" s="7">
        <v>4</v>
      </c>
      <c r="G3" s="6">
        <v>0</v>
      </c>
      <c r="H3" s="6">
        <v>1</v>
      </c>
      <c r="I3" s="6">
        <f>15*2</f>
        <v>30</v>
      </c>
      <c r="J3" s="6">
        <f>8*1</f>
        <v>8</v>
      </c>
      <c r="K3" s="6">
        <v>0</v>
      </c>
      <c r="L3" s="6">
        <v>0.8</v>
      </c>
      <c r="M3" s="6">
        <v>0.55</v>
      </c>
      <c r="N3" s="6">
        <v>1</v>
      </c>
      <c r="O3" t="s" s="8">
        <v>19</v>
      </c>
      <c r="P3" s="6">
        <v>45</v>
      </c>
      <c r="Q3" t="s" s="9">
        <v>20</v>
      </c>
    </row>
    <row r="4" ht="20.05" customHeight="1">
      <c r="A4" t="s" s="10">
        <v>21</v>
      </c>
      <c r="B4" s="11">
        <f t="shared" si="5" ref="B4:B7">288*3</f>
        <v>864</v>
      </c>
      <c r="C4" s="12">
        <f>ROUNDDOWN((B4*ROUNDDOWN(90/E4,0))*H4,0)</f>
        <v>7776</v>
      </c>
      <c r="D4" s="12">
        <f>ROUNDDOWN(((I4*ROUNDDOWN(5/L4,0))+(J4*ROUNDDOWN(5/M4,0))+(K4*ROUNDDOWN(5/N4,0)))*H4,0)</f>
        <v>676</v>
      </c>
      <c r="E4" s="12">
        <v>9.59</v>
      </c>
      <c r="F4" s="13">
        <v>4</v>
      </c>
      <c r="G4" s="12">
        <v>10</v>
      </c>
      <c r="H4" s="12">
        <v>1</v>
      </c>
      <c r="I4" s="12">
        <f t="shared" si="8" ref="I4:I7">26*2</f>
        <v>52</v>
      </c>
      <c r="J4" s="12">
        <v>0</v>
      </c>
      <c r="K4" s="12">
        <v>0</v>
      </c>
      <c r="L4" s="12">
        <v>0.36</v>
      </c>
      <c r="M4" s="12">
        <v>1</v>
      </c>
      <c r="N4" s="12">
        <v>1</v>
      </c>
      <c r="O4" t="s" s="14">
        <v>22</v>
      </c>
      <c r="P4" s="12">
        <v>45</v>
      </c>
      <c r="Q4" t="s" s="15">
        <v>20</v>
      </c>
    </row>
    <row r="5" ht="20.05" customHeight="1">
      <c r="A5" t="s" s="10">
        <v>23</v>
      </c>
      <c r="B5" s="11">
        <f>376*2</f>
        <v>752</v>
      </c>
      <c r="C5" s="12">
        <f>ROUNDDOWN((B5*ROUNDDOWN(90/E5,0))*H5,0)</f>
        <v>6835</v>
      </c>
      <c r="D5" s="12">
        <f>ROUNDDOWN(((I5*ROUNDDOWN(5/L5,0))+(J5*ROUNDDOWN(5/M5,0))+(K5*ROUNDDOWN(5/N5,0)))*H5,0)</f>
        <v>309</v>
      </c>
      <c r="E5" s="12">
        <v>9.890000000000001</v>
      </c>
      <c r="F5" s="13">
        <v>4</v>
      </c>
      <c r="G5" s="12">
        <v>11</v>
      </c>
      <c r="H5" s="12">
        <v>1.01</v>
      </c>
      <c r="I5" s="12">
        <v>17</v>
      </c>
      <c r="J5" s="12">
        <v>0</v>
      </c>
      <c r="K5" s="12">
        <v>0</v>
      </c>
      <c r="L5" s="12">
        <v>0.27</v>
      </c>
      <c r="M5" s="12">
        <v>1</v>
      </c>
      <c r="N5" s="12">
        <v>1</v>
      </c>
      <c r="O5" t="s" s="14">
        <v>19</v>
      </c>
      <c r="P5" s="12">
        <v>45</v>
      </c>
      <c r="Q5" t="s" s="15">
        <v>20</v>
      </c>
    </row>
    <row r="6" ht="20.05" customHeight="1">
      <c r="A6" t="s" s="10">
        <v>24</v>
      </c>
      <c r="B6" s="11">
        <f>264*3</f>
        <v>792</v>
      </c>
      <c r="C6" s="12">
        <f>ROUNDDOWN((B6*ROUNDDOWN(90/E6,0))*H6,0)</f>
        <v>6399</v>
      </c>
      <c r="D6" s="12">
        <f>ROUNDDOWN(((I6*ROUNDDOWN(5/L6,0))+(J6*ROUNDDOWN(5/M6,0))+(K6*ROUNDDOWN(5/N6,0)))*H6,0)</f>
        <v>1363</v>
      </c>
      <c r="E6" s="12">
        <v>10.42</v>
      </c>
      <c r="F6" s="13">
        <v>4</v>
      </c>
      <c r="G6" s="12">
        <v>11</v>
      </c>
      <c r="H6" s="12">
        <v>1.01</v>
      </c>
      <c r="I6" s="12">
        <f>30*3</f>
        <v>90</v>
      </c>
      <c r="J6" s="12">
        <v>0</v>
      </c>
      <c r="K6" s="12">
        <v>0</v>
      </c>
      <c r="L6" s="12">
        <v>0.33</v>
      </c>
      <c r="M6" s="12">
        <v>1</v>
      </c>
      <c r="N6" s="12">
        <v>1</v>
      </c>
      <c r="O6" t="s" s="14">
        <v>25</v>
      </c>
      <c r="P6" s="12">
        <v>45</v>
      </c>
      <c r="Q6" t="s" s="15">
        <v>20</v>
      </c>
    </row>
    <row r="7" ht="20.05" customHeight="1">
      <c r="A7" t="s" s="10">
        <v>26</v>
      </c>
      <c r="B7" s="11">
        <f t="shared" si="5"/>
        <v>864</v>
      </c>
      <c r="C7" s="12">
        <f>ROUNDDOWN((B7*ROUNDDOWN(90/E7,0))*H7,0)</f>
        <v>5184</v>
      </c>
      <c r="D7" s="12">
        <f>ROUNDDOWN(((I7*ROUNDDOWN(5/L7,0))+(J7*ROUNDDOWN(5/M7,0))+(K7*ROUNDDOWN(5/N7,0)))*H7,0)</f>
        <v>676</v>
      </c>
      <c r="E7" s="12">
        <v>14.49</v>
      </c>
      <c r="F7" s="13">
        <v>3</v>
      </c>
      <c r="G7" s="12">
        <v>10</v>
      </c>
      <c r="H7" s="12">
        <v>1</v>
      </c>
      <c r="I7" s="12">
        <f t="shared" si="8"/>
        <v>52</v>
      </c>
      <c r="J7" s="12">
        <v>0</v>
      </c>
      <c r="K7" s="12">
        <v>0</v>
      </c>
      <c r="L7" s="12">
        <v>0.38</v>
      </c>
      <c r="M7" s="12">
        <v>1</v>
      </c>
      <c r="N7" s="12">
        <v>1</v>
      </c>
      <c r="O7" t="s" s="14">
        <v>27</v>
      </c>
      <c r="P7" s="12">
        <v>25</v>
      </c>
      <c r="Q7" t="s" s="15">
        <v>20</v>
      </c>
    </row>
    <row r="8" ht="20.05" customHeight="1">
      <c r="A8" t="s" s="10">
        <v>26</v>
      </c>
      <c r="B8" s="11">
        <f>234*3</f>
        <v>702</v>
      </c>
      <c r="C8" s="12">
        <f>ROUNDDOWN((B8*ROUNDDOWN(90/E8,0))*H8,0)</f>
        <v>3510</v>
      </c>
      <c r="D8" s="12">
        <f>ROUNDDOWN(((I8*ROUNDDOWN(5/L8,0))+(J8*ROUNDDOWN(5/M8,0))+(K8*ROUNDDOWN(5/N8,0)))*H8,0)</f>
        <v>480</v>
      </c>
      <c r="E8" s="12">
        <v>15.09</v>
      </c>
      <c r="F8" s="13">
        <v>3</v>
      </c>
      <c r="G8" s="12">
        <v>7</v>
      </c>
      <c r="H8" s="12">
        <v>1</v>
      </c>
      <c r="I8" s="12">
        <f>20*2</f>
        <v>40</v>
      </c>
      <c r="J8" s="12">
        <v>0</v>
      </c>
      <c r="K8" s="12">
        <v>0</v>
      </c>
      <c r="L8" s="12">
        <v>0.4</v>
      </c>
      <c r="M8" s="12">
        <v>1</v>
      </c>
      <c r="N8" s="12">
        <v>1</v>
      </c>
      <c r="O8" t="s" s="14">
        <v>27</v>
      </c>
      <c r="P8" s="12">
        <v>25</v>
      </c>
      <c r="Q8" t="s" s="15">
        <v>20</v>
      </c>
    </row>
    <row r="9" ht="20.05" customHeight="1">
      <c r="A9" t="s" s="10">
        <v>21</v>
      </c>
      <c r="B9" s="11">
        <f>256*3</f>
        <v>768</v>
      </c>
      <c r="C9" s="12">
        <f>ROUNDDOWN((B9*ROUNDDOWN(90/E9,0))*H9,0)</f>
        <v>6144</v>
      </c>
      <c r="D9" s="12">
        <f>ROUNDDOWN(((I9*ROUNDDOWN(5/L9,0))+(J9*ROUNDDOWN(5/M9,0))+(K9*ROUNDDOWN(5/N9,0)))*H9,0)</f>
        <v>528</v>
      </c>
      <c r="E9" s="12">
        <v>10.64</v>
      </c>
      <c r="F9" s="13">
        <v>3</v>
      </c>
      <c r="G9" s="12">
        <v>10</v>
      </c>
      <c r="H9" s="12">
        <v>1</v>
      </c>
      <c r="I9" s="12">
        <f>22*2</f>
        <v>44</v>
      </c>
      <c r="J9" s="12">
        <v>0</v>
      </c>
      <c r="K9" s="12">
        <v>0</v>
      </c>
      <c r="L9" s="12">
        <v>0.4</v>
      </c>
      <c r="M9" s="12">
        <v>1</v>
      </c>
      <c r="N9" s="12">
        <v>1</v>
      </c>
      <c r="O9" t="s" s="14">
        <v>22</v>
      </c>
      <c r="P9" s="12">
        <v>25</v>
      </c>
      <c r="Q9" t="s" s="15">
        <v>20</v>
      </c>
    </row>
    <row r="10" ht="20.05" customHeight="1">
      <c r="A10" t="s" s="10">
        <v>21</v>
      </c>
      <c r="B10" s="11">
        <f>96*3</f>
        <v>288</v>
      </c>
      <c r="C10" s="12">
        <f>ROUNDDOWN((B10*ROUNDDOWN(90/E10,0))*H10,0)</f>
        <v>1728</v>
      </c>
      <c r="D10" s="12">
        <f>ROUNDDOWN(((I10*ROUNDDOWN(5/L10,0))+(J10*ROUNDDOWN(5/M10,0))+(K10*ROUNDDOWN(5/N10,0)))*H10,0)</f>
        <v>180</v>
      </c>
      <c r="E10" s="12">
        <v>12.97</v>
      </c>
      <c r="F10" s="13">
        <v>3</v>
      </c>
      <c r="G10" s="12">
        <v>0</v>
      </c>
      <c r="H10" s="12">
        <v>1</v>
      </c>
      <c r="I10" s="12">
        <f>9*2</f>
        <v>18</v>
      </c>
      <c r="J10" s="12">
        <v>0</v>
      </c>
      <c r="K10" s="12">
        <v>0</v>
      </c>
      <c r="L10" s="12">
        <v>0.5</v>
      </c>
      <c r="M10" s="12">
        <v>1</v>
      </c>
      <c r="N10" s="12">
        <v>1</v>
      </c>
      <c r="O10" t="s" s="14">
        <v>22</v>
      </c>
      <c r="P10" s="12">
        <v>25</v>
      </c>
      <c r="Q10" t="s" s="15">
        <v>20</v>
      </c>
    </row>
    <row r="11" ht="20.05" customHeight="1">
      <c r="A11" t="s" s="10">
        <v>28</v>
      </c>
      <c r="B11" s="11">
        <v>48</v>
      </c>
      <c r="C11" s="12">
        <f>ROUNDDOWN((B11*ROUNDDOWN(90/E11,0))*H11,0)</f>
        <v>288</v>
      </c>
      <c r="D11" s="12">
        <f>ROUNDDOWN(((I11*ROUNDDOWN(5/L11,0))+(J11*ROUNDDOWN(5/M11,0))+(K11*ROUNDDOWN(5/N11,0)))*H11,0)</f>
        <v>200</v>
      </c>
      <c r="E11" s="12">
        <v>13.52</v>
      </c>
      <c r="F11" s="13">
        <v>3</v>
      </c>
      <c r="G11" s="12">
        <v>0</v>
      </c>
      <c r="H11" s="12">
        <v>1</v>
      </c>
      <c r="I11" s="12">
        <f>10*2</f>
        <v>20</v>
      </c>
      <c r="J11" s="12">
        <v>0</v>
      </c>
      <c r="K11" s="12">
        <v>0</v>
      </c>
      <c r="L11" s="12">
        <v>0.48</v>
      </c>
      <c r="M11" s="12">
        <v>1</v>
      </c>
      <c r="N11" s="12">
        <v>1</v>
      </c>
      <c r="O11" t="s" s="14">
        <v>19</v>
      </c>
      <c r="P11" s="12">
        <v>25</v>
      </c>
      <c r="Q11" t="s" s="15">
        <v>20</v>
      </c>
    </row>
  </sheetData>
  <mergeCells count="1">
    <mergeCell ref="A1:Q1"/>
  </mergeCells>
  <conditionalFormatting sqref="F3:F11">
    <cfRule type="cellIs" dxfId="0" priority="1" operator="equal" stopIfTrue="1">
      <formula>5</formula>
    </cfRule>
    <cfRule type="cellIs" dxfId="1" priority="2" operator="equal" stopIfTrue="1">
      <formula>4</formula>
    </cfRule>
    <cfRule type="cellIs" dxfId="2" priority="3" operator="equal" stopIfTrue="1">
      <formula>3</formula>
    </cfRule>
    <cfRule type="cellIs" dxfId="3" priority="4" operator="equal" stopIfTrue="1">
      <formula>2</formula>
    </cfRule>
  </conditionalFormatting>
  <conditionalFormatting sqref="O3:O11">
    <cfRule type="cellIs" dxfId="4" priority="1" operator="equal" stopIfTrue="1">
      <formula>"Royal Navy"</formula>
    </cfRule>
    <cfRule type="cellIs" dxfId="5" priority="2" operator="equal" stopIfTrue="1">
      <formula>"Sakura Empire"</formula>
    </cfRule>
    <cfRule type="cellIs" dxfId="6" priority="3" operator="equal" stopIfTrue="1">
      <formula>"Iron Blood"</formula>
    </cfRule>
    <cfRule type="cellIs" dxfId="7" priority="4" operator="equal" stopIfTrue="1">
      <formula>"Eagle Union"</formula>
    </cfRule>
  </conditionalFormatting>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10.xml><?xml version="1.0" encoding="utf-8"?>
<worksheet xmlns:r="http://schemas.openxmlformats.org/officeDocument/2006/relationships" xmlns="http://schemas.openxmlformats.org/spreadsheetml/2006/main">
  <sheetPr>
    <pageSetUpPr fitToPage="1"/>
  </sheetPr>
  <dimension ref="A2:S17"/>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35.4375" style="33" customWidth="1"/>
    <col min="2" max="2" width="9.76562" style="33" customWidth="1"/>
    <col min="3" max="3" width="8.90625" style="33" customWidth="1"/>
    <col min="4" max="4" width="9.40625" style="33" customWidth="1"/>
    <col min="5" max="6" width="4.9375" style="33" customWidth="1"/>
    <col min="7" max="7" width="4.90625" style="33" customWidth="1"/>
    <col min="8" max="8" width="3.57812" style="33" customWidth="1"/>
    <col min="9" max="9" width="4.72656" style="33" customWidth="1"/>
    <col min="10" max="10" width="4.40625" style="33" customWidth="1"/>
    <col min="11" max="11" width="5.22656" style="33" customWidth="1"/>
    <col min="12" max="12" width="3.90625" style="33" customWidth="1"/>
    <col min="13" max="13" width="4.90625" style="33" customWidth="1"/>
    <col min="14" max="14" width="5.40625" style="33" customWidth="1"/>
    <col min="15" max="15" width="4.90625" style="33" customWidth="1"/>
    <col min="16" max="16" width="5.07812" style="33" customWidth="1"/>
    <col min="17" max="17" width="4.72656" style="33" customWidth="1"/>
    <col min="18" max="18" width="6.22656" style="33" customWidth="1"/>
    <col min="19" max="19" width="28.0781" style="33" customWidth="1"/>
    <col min="20" max="16384" width="16.3516" style="33" customWidth="1"/>
  </cols>
  <sheetData>
    <row r="1" ht="27.65" customHeight="1">
      <c r="A1" t="s" s="2">
        <v>165</v>
      </c>
      <c r="B1" s="2"/>
      <c r="C1" s="2"/>
      <c r="D1" s="2"/>
      <c r="E1" s="2"/>
      <c r="F1" s="2"/>
      <c r="G1" s="2"/>
      <c r="H1" s="2"/>
      <c r="I1" s="2"/>
      <c r="J1" s="2"/>
      <c r="K1" s="2"/>
      <c r="L1" s="2"/>
      <c r="M1" s="2"/>
      <c r="N1" s="2"/>
      <c r="O1" s="2"/>
      <c r="P1" s="2"/>
      <c r="Q1" s="2"/>
      <c r="R1" s="2"/>
      <c r="S1" s="2"/>
    </row>
    <row r="2" ht="20.25" customHeight="1">
      <c r="A2" t="s" s="3">
        <v>1</v>
      </c>
      <c r="B2" t="s" s="3">
        <v>102</v>
      </c>
      <c r="C2" t="s" s="3">
        <v>103</v>
      </c>
      <c r="D2" t="s" s="3">
        <v>104</v>
      </c>
      <c r="E2" t="s" s="3">
        <v>105</v>
      </c>
      <c r="F2" t="s" s="3">
        <v>106</v>
      </c>
      <c r="G2" t="s" s="3">
        <v>107</v>
      </c>
      <c r="H2" t="s" s="3">
        <v>108</v>
      </c>
      <c r="I2" t="s" s="3">
        <v>109</v>
      </c>
      <c r="J2" t="s" s="3">
        <v>110</v>
      </c>
      <c r="K2" t="s" s="3">
        <v>111</v>
      </c>
      <c r="L2" t="s" s="3">
        <v>112</v>
      </c>
      <c r="M2" t="s" s="3">
        <v>113</v>
      </c>
      <c r="N2" t="s" s="3">
        <v>53</v>
      </c>
      <c r="O2" t="s" s="3">
        <v>114</v>
      </c>
      <c r="P2" t="s" s="3">
        <v>115</v>
      </c>
      <c r="Q2" t="s" s="3">
        <v>116</v>
      </c>
      <c r="R2" t="s" s="3">
        <v>117</v>
      </c>
      <c r="S2" t="s" s="3">
        <v>17</v>
      </c>
    </row>
    <row r="3" ht="20.25" customHeight="1">
      <c r="A3" t="s" s="4">
        <v>166</v>
      </c>
      <c r="B3" s="23"/>
      <c r="C3" s="27"/>
      <c r="D3" s="27"/>
      <c r="E3" s="27"/>
      <c r="F3" s="27"/>
      <c r="G3" s="27"/>
      <c r="H3" s="6">
        <v>35</v>
      </c>
      <c r="I3" s="6">
        <v>15</v>
      </c>
      <c r="J3" s="27"/>
      <c r="K3" s="27"/>
      <c r="L3" s="27"/>
      <c r="M3" s="27"/>
      <c r="N3" s="27"/>
      <c r="O3" s="27"/>
      <c r="P3" s="6">
        <v>10</v>
      </c>
      <c r="Q3" s="27"/>
      <c r="R3" s="6">
        <v>4</v>
      </c>
      <c r="S3" t="s" s="9">
        <v>167</v>
      </c>
    </row>
    <row r="4" ht="20.05" customHeight="1">
      <c r="A4" t="s" s="10">
        <v>168</v>
      </c>
      <c r="B4" s="24"/>
      <c r="C4" s="28"/>
      <c r="D4" s="28"/>
      <c r="E4" s="12">
        <v>30</v>
      </c>
      <c r="F4" s="28"/>
      <c r="G4" s="12">
        <v>10</v>
      </c>
      <c r="H4" s="28"/>
      <c r="I4" s="28"/>
      <c r="J4" s="28"/>
      <c r="K4" s="28"/>
      <c r="L4" s="28"/>
      <c r="M4" s="28"/>
      <c r="N4" s="28"/>
      <c r="O4" s="28"/>
      <c r="P4" s="12">
        <v>10</v>
      </c>
      <c r="Q4" s="28"/>
      <c r="R4" s="12">
        <v>4</v>
      </c>
      <c r="S4" t="s" s="15">
        <v>169</v>
      </c>
    </row>
    <row r="5" ht="20.05" customHeight="1">
      <c r="A5" t="s" s="10">
        <v>170</v>
      </c>
      <c r="B5" s="24"/>
      <c r="C5" s="28"/>
      <c r="D5" s="28"/>
      <c r="E5" s="12">
        <v>25</v>
      </c>
      <c r="F5" s="28"/>
      <c r="G5" s="28"/>
      <c r="H5" s="28"/>
      <c r="I5" s="12">
        <v>17</v>
      </c>
      <c r="J5" s="28"/>
      <c r="K5" s="28"/>
      <c r="L5" s="28"/>
      <c r="M5" s="28"/>
      <c r="N5" s="28"/>
      <c r="O5" s="28"/>
      <c r="P5" s="12">
        <v>10</v>
      </c>
      <c r="Q5" s="28"/>
      <c r="R5" s="12">
        <v>3</v>
      </c>
      <c r="S5" t="s" s="15">
        <v>20</v>
      </c>
    </row>
    <row r="6" ht="20.05" customHeight="1">
      <c r="A6" t="s" s="10">
        <v>170</v>
      </c>
      <c r="B6" s="24"/>
      <c r="C6" s="28"/>
      <c r="D6" s="28"/>
      <c r="E6" s="12">
        <v>7</v>
      </c>
      <c r="F6" s="28"/>
      <c r="G6" s="28"/>
      <c r="H6" s="28"/>
      <c r="I6" s="12">
        <v>5</v>
      </c>
      <c r="J6" s="28"/>
      <c r="K6" s="28"/>
      <c r="L6" s="28"/>
      <c r="M6" s="28"/>
      <c r="N6" s="28"/>
      <c r="O6" s="28"/>
      <c r="P6" s="28"/>
      <c r="Q6" s="28"/>
      <c r="R6" s="12">
        <v>2</v>
      </c>
      <c r="S6" t="s" s="15">
        <v>20</v>
      </c>
    </row>
    <row r="7" ht="20.05" customHeight="1">
      <c r="A7" t="s" s="10">
        <v>171</v>
      </c>
      <c r="B7" s="24"/>
      <c r="C7" s="28"/>
      <c r="D7" s="28"/>
      <c r="E7" s="12">
        <v>25</v>
      </c>
      <c r="F7" s="28"/>
      <c r="G7" s="28"/>
      <c r="H7" s="28"/>
      <c r="I7" s="28"/>
      <c r="J7" s="28"/>
      <c r="K7" s="28"/>
      <c r="L7" s="12">
        <v>17</v>
      </c>
      <c r="M7" s="28"/>
      <c r="N7" s="28"/>
      <c r="O7" s="28"/>
      <c r="P7" s="12">
        <v>10</v>
      </c>
      <c r="Q7" s="28"/>
      <c r="R7" s="12">
        <v>3</v>
      </c>
      <c r="S7" t="s" s="15">
        <v>20</v>
      </c>
    </row>
    <row r="8" ht="20.05" customHeight="1">
      <c r="A8" t="s" s="10">
        <v>172</v>
      </c>
      <c r="B8" s="24"/>
      <c r="C8" s="28"/>
      <c r="D8" s="28"/>
      <c r="E8" s="28"/>
      <c r="F8" s="28"/>
      <c r="G8" s="28"/>
      <c r="H8" s="12">
        <v>20</v>
      </c>
      <c r="I8" s="28"/>
      <c r="J8" s="28"/>
      <c r="K8" s="28"/>
      <c r="L8" s="12">
        <v>17</v>
      </c>
      <c r="M8" s="28"/>
      <c r="N8" s="28"/>
      <c r="O8" s="28"/>
      <c r="P8" s="12">
        <v>10</v>
      </c>
      <c r="Q8" s="28"/>
      <c r="R8" s="12">
        <v>3</v>
      </c>
      <c r="S8" t="s" s="15">
        <v>20</v>
      </c>
    </row>
    <row r="9" ht="20.05" customHeight="1">
      <c r="A9" t="s" s="10">
        <v>172</v>
      </c>
      <c r="B9" s="24"/>
      <c r="C9" s="28"/>
      <c r="D9" s="28"/>
      <c r="E9" s="28"/>
      <c r="F9" s="28"/>
      <c r="G9" s="28"/>
      <c r="H9" s="12">
        <v>5</v>
      </c>
      <c r="I9" s="28"/>
      <c r="J9" s="28"/>
      <c r="K9" s="28"/>
      <c r="L9" s="12">
        <v>5</v>
      </c>
      <c r="M9" s="28"/>
      <c r="N9" s="28"/>
      <c r="O9" s="28"/>
      <c r="P9" s="28"/>
      <c r="Q9" s="28"/>
      <c r="R9" s="12">
        <v>2</v>
      </c>
      <c r="S9" t="s" s="15">
        <v>20</v>
      </c>
    </row>
    <row r="10" ht="20.05" customHeight="1">
      <c r="A10" t="s" s="10">
        <v>173</v>
      </c>
      <c r="B10" s="24"/>
      <c r="C10" s="28"/>
      <c r="D10" s="28"/>
      <c r="E10" s="28"/>
      <c r="F10" s="12">
        <v>15</v>
      </c>
      <c r="G10" s="28"/>
      <c r="H10" s="12">
        <v>20</v>
      </c>
      <c r="I10" s="28"/>
      <c r="J10" s="28"/>
      <c r="K10" s="28"/>
      <c r="L10" s="28"/>
      <c r="M10" s="28"/>
      <c r="N10" s="28"/>
      <c r="O10" s="28"/>
      <c r="P10" s="12">
        <v>10</v>
      </c>
      <c r="Q10" s="28"/>
      <c r="R10" s="12">
        <v>3</v>
      </c>
      <c r="S10" t="s" s="15">
        <v>20</v>
      </c>
    </row>
    <row r="11" ht="20.05" customHeight="1">
      <c r="A11" t="s" s="10">
        <v>174</v>
      </c>
      <c r="B11" s="24"/>
      <c r="C11" s="28"/>
      <c r="D11" s="28"/>
      <c r="E11" s="28"/>
      <c r="F11" s="28"/>
      <c r="G11" s="28"/>
      <c r="H11" s="12">
        <v>15</v>
      </c>
      <c r="I11" s="28"/>
      <c r="J11" s="28"/>
      <c r="K11" s="28"/>
      <c r="L11" s="12">
        <v>21</v>
      </c>
      <c r="M11" s="28"/>
      <c r="N11" s="28"/>
      <c r="O11" s="28"/>
      <c r="P11" s="12">
        <v>10</v>
      </c>
      <c r="Q11" s="28"/>
      <c r="R11" s="12">
        <v>3</v>
      </c>
      <c r="S11" t="s" s="15">
        <v>20</v>
      </c>
    </row>
    <row r="12" ht="20.05" customHeight="1">
      <c r="A12" t="s" s="10">
        <v>174</v>
      </c>
      <c r="B12" s="24"/>
      <c r="C12" s="28"/>
      <c r="D12" s="28"/>
      <c r="E12" s="28"/>
      <c r="F12" s="28"/>
      <c r="G12" s="28"/>
      <c r="H12" s="12">
        <v>10</v>
      </c>
      <c r="I12" s="28"/>
      <c r="J12" s="28"/>
      <c r="K12" s="28"/>
      <c r="L12" s="12">
        <v>14</v>
      </c>
      <c r="M12" s="28"/>
      <c r="N12" s="28"/>
      <c r="O12" s="28"/>
      <c r="P12" s="28"/>
      <c r="Q12" s="28"/>
      <c r="R12" s="12">
        <v>3</v>
      </c>
      <c r="S12" t="s" s="15">
        <v>20</v>
      </c>
    </row>
    <row r="13" ht="20.05" customHeight="1">
      <c r="A13" t="s" s="10">
        <v>175</v>
      </c>
      <c r="B13" s="24"/>
      <c r="C13" s="28"/>
      <c r="D13" s="28"/>
      <c r="E13" s="28"/>
      <c r="F13" s="12">
        <v>30</v>
      </c>
      <c r="G13" s="28"/>
      <c r="H13" s="28"/>
      <c r="I13" s="28"/>
      <c r="J13" s="28"/>
      <c r="K13" s="12">
        <v>7</v>
      </c>
      <c r="L13" s="28"/>
      <c r="M13" s="28"/>
      <c r="N13" s="28"/>
      <c r="O13" s="28"/>
      <c r="P13" s="12">
        <v>10</v>
      </c>
      <c r="Q13" s="28"/>
      <c r="R13" s="12">
        <v>3</v>
      </c>
      <c r="S13" t="s" s="15">
        <v>20</v>
      </c>
    </row>
    <row r="14" ht="20.05" customHeight="1">
      <c r="A14" t="s" s="10">
        <v>175</v>
      </c>
      <c r="B14" s="24"/>
      <c r="C14" s="28"/>
      <c r="D14" s="28"/>
      <c r="E14" s="28"/>
      <c r="F14" s="12">
        <v>8</v>
      </c>
      <c r="G14" s="28"/>
      <c r="H14" s="28"/>
      <c r="I14" s="28"/>
      <c r="J14" s="28"/>
      <c r="K14" s="12">
        <v>1</v>
      </c>
      <c r="L14" s="28"/>
      <c r="M14" s="28"/>
      <c r="N14" s="28"/>
      <c r="O14" s="28"/>
      <c r="P14" s="28"/>
      <c r="Q14" s="28"/>
      <c r="R14" s="12">
        <v>2</v>
      </c>
      <c r="S14" t="s" s="15">
        <v>20</v>
      </c>
    </row>
    <row r="15" ht="20.05" customHeight="1">
      <c r="A15" t="s" s="10">
        <v>176</v>
      </c>
      <c r="B15" s="24"/>
      <c r="C15" s="28"/>
      <c r="D15" s="28"/>
      <c r="E15" s="28"/>
      <c r="F15" s="28"/>
      <c r="G15" s="28"/>
      <c r="H15" s="12">
        <v>20</v>
      </c>
      <c r="I15" s="12">
        <v>12</v>
      </c>
      <c r="J15" s="28"/>
      <c r="K15" s="28"/>
      <c r="L15" s="28"/>
      <c r="M15" s="28"/>
      <c r="N15" s="28"/>
      <c r="O15" s="28"/>
      <c r="P15" s="12">
        <v>10</v>
      </c>
      <c r="Q15" s="28"/>
      <c r="R15" s="12">
        <v>3</v>
      </c>
      <c r="S15" t="s" s="15">
        <v>20</v>
      </c>
    </row>
    <row r="16" ht="20.05" customHeight="1">
      <c r="A16" t="s" s="10">
        <v>176</v>
      </c>
      <c r="B16" s="24"/>
      <c r="C16" s="28"/>
      <c r="D16" s="28"/>
      <c r="E16" s="28"/>
      <c r="F16" s="28"/>
      <c r="G16" s="28"/>
      <c r="H16" s="12">
        <v>5</v>
      </c>
      <c r="I16" s="12">
        <v>3</v>
      </c>
      <c r="J16" s="28"/>
      <c r="K16" s="28"/>
      <c r="L16" s="28"/>
      <c r="M16" s="28"/>
      <c r="N16" s="28"/>
      <c r="O16" s="28"/>
      <c r="P16" s="28"/>
      <c r="Q16" s="28"/>
      <c r="R16" s="12">
        <v>2</v>
      </c>
      <c r="S16" t="s" s="15">
        <v>20</v>
      </c>
    </row>
    <row r="17" ht="20.05" customHeight="1">
      <c r="A17" t="s" s="10">
        <v>177</v>
      </c>
      <c r="B17" s="24"/>
      <c r="C17" s="28"/>
      <c r="D17" s="28"/>
      <c r="E17" s="28"/>
      <c r="F17" s="12">
        <v>10</v>
      </c>
      <c r="G17" s="28"/>
      <c r="H17" s="28"/>
      <c r="I17" s="28"/>
      <c r="J17" s="28"/>
      <c r="K17" s="12">
        <v>1</v>
      </c>
      <c r="L17" s="28"/>
      <c r="M17" s="28"/>
      <c r="N17" s="28"/>
      <c r="O17" s="28"/>
      <c r="P17" s="28"/>
      <c r="Q17" s="28"/>
      <c r="R17" s="12">
        <v>2</v>
      </c>
      <c r="S17" t="s" s="15">
        <v>20</v>
      </c>
    </row>
  </sheetData>
  <mergeCells count="1">
    <mergeCell ref="A1:S1"/>
  </mergeCells>
  <conditionalFormatting sqref="B3:Q17">
    <cfRule type="cellIs" dxfId="82" priority="1" operator="equal" stopIfTrue="1">
      <formula>0</formula>
    </cfRule>
  </conditionalFormatting>
  <conditionalFormatting sqref="R3:R17">
    <cfRule type="cellIs" dxfId="83" priority="1" operator="equal" stopIfTrue="1">
      <formula>5</formula>
    </cfRule>
    <cfRule type="cellIs" dxfId="84" priority="2" operator="equal" stopIfTrue="1">
      <formula>4</formula>
    </cfRule>
    <cfRule type="cellIs" dxfId="85" priority="3" operator="equal" stopIfTrue="1">
      <formula>3</formula>
    </cfRule>
    <cfRule type="cellIs" dxfId="86" priority="4" operator="equal" stopIfTrue="1">
      <formula>2</formula>
    </cfRule>
    <cfRule type="cellIs" dxfId="87" priority="5" operator="equal" stopIfTrue="1">
      <formula>1</formula>
    </cfRule>
    <cfRule type="cellIs" dxfId="88" priority="6" operator="equal" stopIfTrue="1">
      <formula>0</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sheetPr>
    <pageSetUpPr fitToPage="1"/>
  </sheetPr>
  <dimension ref="A2:CX97"/>
  <sheetViews>
    <sheetView workbookViewId="0" showGridLines="0" defaultGridColor="1">
      <pane topLeftCell="C3" xSplit="2" ySplit="2" activePane="bottomRight" state="frozen"/>
    </sheetView>
  </sheetViews>
  <sheetFormatPr defaultColWidth="16.3333" defaultRowHeight="19.9" customHeight="1" outlineLevelRow="0" outlineLevelCol="0"/>
  <cols>
    <col min="1" max="1" width="18.2266" style="34" customWidth="1"/>
    <col min="2" max="2" width="14.9375" style="34" customWidth="1"/>
    <col min="3" max="3" width="4.4375" style="34" customWidth="1"/>
    <col min="4" max="4" width="5.40625" style="34" customWidth="1"/>
    <col min="5" max="5" width="9.61719" style="34" customWidth="1"/>
    <col min="6" max="6" width="6.26562" style="34" customWidth="1"/>
    <col min="7" max="7" width="7.90625" style="34" customWidth="1"/>
    <col min="8" max="8" width="6.26562" style="34" customWidth="1"/>
    <col min="9" max="9" width="8.57812" style="34" customWidth="1"/>
    <col min="10" max="10" width="5.76562" style="34" customWidth="1"/>
    <col min="11" max="11" width="7.57812" style="34" customWidth="1"/>
    <col min="12" max="12" width="11.4062" style="34" customWidth="1"/>
    <col min="13" max="13" width="16.5781" style="34" customWidth="1"/>
    <col min="14" max="14" width="7.72656" style="34" customWidth="1"/>
    <col min="15" max="15" width="6.57812" style="34" customWidth="1"/>
    <col min="16" max="16" width="7.07812" style="34" customWidth="1"/>
    <col min="17" max="17" width="7.72656" style="34" customWidth="1"/>
    <col min="18" max="18" width="7.22656" style="34" customWidth="1"/>
    <col min="19" max="19" width="5.22656" style="34" customWidth="1"/>
    <col min="20" max="21" width="4.40625" style="34" customWidth="1"/>
    <col min="22" max="22" width="5.40625" style="34" customWidth="1"/>
    <col min="23" max="24" width="4.90625" style="34" customWidth="1"/>
    <col min="25" max="25" width="4.40625" style="34" customWidth="1"/>
    <col min="26" max="26" width="5.57812" style="34" customWidth="1"/>
    <col min="27" max="27" width="4.90625" style="34" customWidth="1"/>
    <col min="28" max="28" width="5.22656" style="34" customWidth="1"/>
    <col min="29" max="29" width="4.90625" style="34" customWidth="1"/>
    <col min="30" max="30" width="4.72656" style="34" customWidth="1"/>
    <col min="31" max="33" width="5.22656" style="34" customWidth="1"/>
    <col min="34" max="35" width="4.40625" style="34" customWidth="1"/>
    <col min="36" max="36" width="5.40625" style="34" customWidth="1"/>
    <col min="37" max="38" width="4.90625" style="34" customWidth="1"/>
    <col min="39" max="39" width="4.40625" style="34" customWidth="1"/>
    <col min="40" max="40" width="5.57812" style="34" customWidth="1"/>
    <col min="41" max="41" width="4.90625" style="34" customWidth="1"/>
    <col min="42" max="42" width="5.22656" style="34" customWidth="1"/>
    <col min="43" max="43" width="4.90625" style="34" customWidth="1"/>
    <col min="44" max="44" width="4.72656" style="34" customWidth="1"/>
    <col min="45" max="46" width="5.22656" style="34" customWidth="1"/>
    <col min="47" max="47" width="4.40625" style="34" customWidth="1"/>
    <col min="48" max="48" width="3.57812" style="34" customWidth="1"/>
    <col min="49" max="49" width="3.90625" style="34" customWidth="1"/>
    <col min="50" max="50" width="5.40625" style="34" customWidth="1"/>
    <col min="51" max="52" width="4.90625" style="34" customWidth="1"/>
    <col min="53" max="53" width="4.07812" style="34" customWidth="1"/>
    <col min="54" max="54" width="5.57812" style="34" customWidth="1"/>
    <col min="55" max="55" width="4.90625" style="34" customWidth="1"/>
    <col min="56" max="56" width="5.22656" style="34" customWidth="1"/>
    <col min="57" max="57" width="4.90625" style="34" customWidth="1"/>
    <col min="58" max="58" width="4.72656" style="34" customWidth="1"/>
    <col min="59" max="59" width="5.22656" style="34" customWidth="1"/>
    <col min="60" max="60" width="5.57812" style="34" customWidth="1"/>
    <col min="61" max="61" width="5.22656" style="34" customWidth="1"/>
    <col min="62" max="63" width="4.40625" style="34" customWidth="1"/>
    <col min="64" max="64" width="5.40625" style="34" customWidth="1"/>
    <col min="65" max="66" width="4.90625" style="34" customWidth="1"/>
    <col min="67" max="67" width="4.40625" style="34" customWidth="1"/>
    <col min="68" max="68" width="5.57812" style="34" customWidth="1"/>
    <col min="69" max="69" width="4.90625" style="34" customWidth="1"/>
    <col min="70" max="70" width="5.22656" style="34" customWidth="1"/>
    <col min="71" max="71" width="4.90625" style="34" customWidth="1"/>
    <col min="72" max="72" width="4.72656" style="34" customWidth="1"/>
    <col min="73" max="73" width="5.22656" style="34" customWidth="1"/>
    <col min="74" max="75" width="5.57812" style="34" customWidth="1"/>
    <col min="76" max="76" width="8.90625" style="34" customWidth="1"/>
    <col min="77" max="77" width="7.72656" style="34" customWidth="1"/>
    <col min="78" max="78" width="8.90625" style="34" customWidth="1"/>
    <col min="79" max="79" width="7.72656" style="34" customWidth="1"/>
    <col min="80" max="80" width="8.90625" style="34" customWidth="1"/>
    <col min="81" max="81" width="7.72656" style="34" customWidth="1"/>
    <col min="82" max="82" width="8.90625" style="34" customWidth="1"/>
    <col min="83" max="83" width="7.72656" style="34" customWidth="1"/>
    <col min="84" max="84" width="8.90625" style="34" customWidth="1"/>
    <col min="85" max="85" width="7.72656" style="34" customWidth="1"/>
    <col min="86" max="86" width="13.9062" style="34" customWidth="1"/>
    <col min="87" max="87" width="12.7266" style="34" customWidth="1"/>
    <col min="88" max="88" width="7.72656" style="34" customWidth="1"/>
    <col min="89" max="89" width="8.22656" style="34" customWidth="1"/>
    <col min="90" max="90" width="8.90625" style="34" customWidth="1"/>
    <col min="91" max="91" width="8.22656" style="34" customWidth="1"/>
    <col min="92" max="92" width="8.90625" style="34" customWidth="1"/>
    <col min="93" max="93" width="8.22656" style="34" customWidth="1"/>
    <col min="94" max="94" width="8.90625" style="34" customWidth="1"/>
    <col min="95" max="95" width="8.22656" style="34" customWidth="1"/>
    <col min="96" max="96" width="8.90625" style="34" customWidth="1"/>
    <col min="97" max="97" width="8.22656" style="34" customWidth="1"/>
    <col min="98" max="98" width="8.90625" style="34" customWidth="1"/>
    <col min="99" max="99" width="13.2266" style="34" customWidth="1"/>
    <col min="100" max="100" width="13.9062" style="34" customWidth="1"/>
    <col min="101" max="101" width="9.85156" style="34" customWidth="1"/>
    <col min="102" max="102" width="10.5781" style="34" customWidth="1"/>
    <col min="103" max="16384" width="16.3516" style="34" customWidth="1"/>
  </cols>
  <sheetData>
    <row r="1" ht="27.65" customHeight="1">
      <c r="A1" t="s" s="2">
        <v>178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row>
    <row r="2" ht="20.25" customHeight="1">
      <c r="A2" t="s" s="3">
        <v>1</v>
      </c>
      <c r="B2" t="s" s="3">
        <v>179</v>
      </c>
      <c r="C2" t="s" s="3">
        <v>180</v>
      </c>
      <c r="D2" t="s" s="3">
        <v>181</v>
      </c>
      <c r="E2" t="s" s="3">
        <v>182</v>
      </c>
      <c r="F2" t="s" s="3">
        <v>183</v>
      </c>
      <c r="G2" t="s" s="3">
        <v>184</v>
      </c>
      <c r="H2" t="s" s="3">
        <v>185</v>
      </c>
      <c r="I2" t="s" s="3">
        <v>117</v>
      </c>
      <c r="J2" t="s" s="3">
        <v>186</v>
      </c>
      <c r="K2" t="s" s="3">
        <v>187</v>
      </c>
      <c r="L2" t="s" s="3">
        <v>188</v>
      </c>
      <c r="M2" t="s" s="3">
        <v>189</v>
      </c>
      <c r="N2" t="s" s="3">
        <v>190</v>
      </c>
      <c r="O2" t="s" s="3">
        <v>191</v>
      </c>
      <c r="P2" t="s" s="3">
        <v>192</v>
      </c>
      <c r="Q2" t="s" s="3">
        <v>193</v>
      </c>
      <c r="R2" t="s" s="3">
        <v>194</v>
      </c>
      <c r="S2" t="s" s="3">
        <v>110</v>
      </c>
      <c r="T2" t="s" s="3">
        <v>108</v>
      </c>
      <c r="U2" t="s" s="3">
        <v>112</v>
      </c>
      <c r="V2" t="s" s="3">
        <v>53</v>
      </c>
      <c r="W2" t="s" s="3">
        <v>195</v>
      </c>
      <c r="X2" t="s" s="3">
        <v>106</v>
      </c>
      <c r="Y2" t="s" s="3">
        <v>105</v>
      </c>
      <c r="Z2" t="s" s="3">
        <v>196</v>
      </c>
      <c r="AA2" t="s" s="3">
        <v>113</v>
      </c>
      <c r="AB2" t="s" s="3">
        <v>197</v>
      </c>
      <c r="AC2" t="s" s="3">
        <v>107</v>
      </c>
      <c r="AD2" t="s" s="3">
        <v>109</v>
      </c>
      <c r="AE2" t="s" s="3">
        <v>111</v>
      </c>
      <c r="AF2" t="s" s="3">
        <v>198</v>
      </c>
      <c r="AG2" t="s" s="3">
        <v>110</v>
      </c>
      <c r="AH2" t="s" s="3">
        <v>108</v>
      </c>
      <c r="AI2" t="s" s="3">
        <v>112</v>
      </c>
      <c r="AJ2" t="s" s="3">
        <v>53</v>
      </c>
      <c r="AK2" t="s" s="3">
        <v>195</v>
      </c>
      <c r="AL2" t="s" s="3">
        <v>106</v>
      </c>
      <c r="AM2" t="s" s="3">
        <v>105</v>
      </c>
      <c r="AN2" t="s" s="3">
        <v>196</v>
      </c>
      <c r="AO2" t="s" s="3">
        <v>113</v>
      </c>
      <c r="AP2" t="s" s="3">
        <v>197</v>
      </c>
      <c r="AQ2" t="s" s="3">
        <v>107</v>
      </c>
      <c r="AR2" t="s" s="3">
        <v>109</v>
      </c>
      <c r="AS2" t="s" s="3">
        <v>111</v>
      </c>
      <c r="AT2" t="s" s="3">
        <v>199</v>
      </c>
      <c r="AU2" t="s" s="3">
        <v>110</v>
      </c>
      <c r="AV2" t="s" s="3">
        <v>108</v>
      </c>
      <c r="AW2" t="s" s="3">
        <v>112</v>
      </c>
      <c r="AX2" t="s" s="3">
        <v>53</v>
      </c>
      <c r="AY2" t="s" s="3">
        <v>195</v>
      </c>
      <c r="AZ2" t="s" s="3">
        <v>106</v>
      </c>
      <c r="BA2" t="s" s="3">
        <v>105</v>
      </c>
      <c r="BB2" t="s" s="3">
        <v>196</v>
      </c>
      <c r="BC2" t="s" s="3">
        <v>113</v>
      </c>
      <c r="BD2" t="s" s="3">
        <v>197</v>
      </c>
      <c r="BE2" t="s" s="3">
        <v>107</v>
      </c>
      <c r="BF2" t="s" s="3">
        <v>109</v>
      </c>
      <c r="BG2" t="s" s="3">
        <v>111</v>
      </c>
      <c r="BH2" t="s" s="3">
        <v>200</v>
      </c>
      <c r="BI2" t="s" s="3">
        <v>110</v>
      </c>
      <c r="BJ2" t="s" s="3">
        <v>108</v>
      </c>
      <c r="BK2" t="s" s="3">
        <v>112</v>
      </c>
      <c r="BL2" t="s" s="3">
        <v>53</v>
      </c>
      <c r="BM2" t="s" s="3">
        <v>195</v>
      </c>
      <c r="BN2" t="s" s="3">
        <v>106</v>
      </c>
      <c r="BO2" t="s" s="3">
        <v>105</v>
      </c>
      <c r="BP2" t="s" s="3">
        <v>196</v>
      </c>
      <c r="BQ2" t="s" s="3">
        <v>113</v>
      </c>
      <c r="BR2" t="s" s="3">
        <v>197</v>
      </c>
      <c r="BS2" t="s" s="3">
        <v>107</v>
      </c>
      <c r="BT2" t="s" s="3">
        <v>109</v>
      </c>
      <c r="BU2" t="s" s="3">
        <v>111</v>
      </c>
      <c r="BV2" t="s" s="3">
        <v>201</v>
      </c>
      <c r="BW2" t="s" s="3">
        <v>202</v>
      </c>
      <c r="BX2" t="s" s="3">
        <v>203</v>
      </c>
      <c r="BY2" t="s" s="3">
        <v>204</v>
      </c>
      <c r="BZ2" t="s" s="3">
        <v>205</v>
      </c>
      <c r="CA2" t="s" s="3">
        <v>206</v>
      </c>
      <c r="CB2" t="s" s="3">
        <v>207</v>
      </c>
      <c r="CC2" t="s" s="3">
        <v>208</v>
      </c>
      <c r="CD2" t="s" s="3">
        <v>209</v>
      </c>
      <c r="CE2" t="s" s="3">
        <v>210</v>
      </c>
      <c r="CF2" t="s" s="3">
        <v>211</v>
      </c>
      <c r="CG2" t="s" s="3">
        <v>212</v>
      </c>
      <c r="CH2" t="s" s="3">
        <v>213</v>
      </c>
      <c r="CI2" t="s" s="3">
        <v>214</v>
      </c>
      <c r="CJ2" t="s" s="35">
        <v>215</v>
      </c>
      <c r="CK2" t="s" s="36">
        <v>216</v>
      </c>
      <c r="CL2" t="s" s="36">
        <v>217</v>
      </c>
      <c r="CM2" t="s" s="36">
        <v>218</v>
      </c>
      <c r="CN2" t="s" s="36">
        <v>219</v>
      </c>
      <c r="CO2" t="s" s="36">
        <v>220</v>
      </c>
      <c r="CP2" t="s" s="36">
        <v>221</v>
      </c>
      <c r="CQ2" t="s" s="36">
        <v>222</v>
      </c>
      <c r="CR2" t="s" s="36">
        <v>223</v>
      </c>
      <c r="CS2" t="s" s="36">
        <v>224</v>
      </c>
      <c r="CT2" t="s" s="36">
        <v>225</v>
      </c>
      <c r="CU2" t="s" s="36">
        <v>226</v>
      </c>
      <c r="CV2" t="s" s="36">
        <v>227</v>
      </c>
      <c r="CW2" t="s" s="36">
        <v>228</v>
      </c>
      <c r="CX2" t="s" s="36">
        <v>229</v>
      </c>
    </row>
    <row r="3" ht="20.25" customHeight="1">
      <c r="A3" t="s" s="37">
        <v>230</v>
      </c>
      <c r="B3" t="s" s="38">
        <v>231</v>
      </c>
      <c r="C3" t="s" s="39">
        <v>73</v>
      </c>
      <c r="D3" s="7">
        <v>1</v>
      </c>
      <c r="E3" t="s" s="9">
        <v>232</v>
      </c>
      <c r="F3" t="s" s="9">
        <v>233</v>
      </c>
      <c r="G3" t="s" s="9">
        <v>234</v>
      </c>
      <c r="H3" s="6">
        <v>3</v>
      </c>
      <c r="I3" t="s" s="9">
        <v>235</v>
      </c>
      <c r="J3" s="6">
        <v>125</v>
      </c>
      <c r="K3" t="s" s="8">
        <v>236</v>
      </c>
      <c r="L3" t="s" s="9">
        <v>237</v>
      </c>
      <c r="M3" t="s" s="9">
        <v>19</v>
      </c>
      <c r="N3" s="40">
        <f>ROUND((SUM(AA3,T3:Y3,AC3:AE3,Z3*10)-AB3*15)*(IF(K3="Heavy",0.15,IF(K3="Medium",0,IF(K3="Light",-0.15,10)))+1),0)</f>
        <v>1472</v>
      </c>
      <c r="O3" s="40">
        <v>4617</v>
      </c>
      <c r="P3" s="40">
        <f>ROUNDDOWN((BI3+AU3+AG3)/5,0)+(BJ3+AV3+AH3)+(BN3+AZ3+AL3)+(BO3+BA3+AM3)+(BK3+AW3+AI3)+(BS3+BE3+AQ3)+(BL3+AX3+AJ3)+(BQ3+BC3+AO3)+(2*((BT3+BF3+AR3)+(BU3+BG3+AS3)))+(CK3+CM3+CO3+CQ3+CS3+CU3)+(CL3*BY3)+(CN3*CA3)+(CP3+CC3)+(CR3+CE3)+(CT3+CG3)+(CV3+CI3)+BV3</f>
        <v>4771</v>
      </c>
      <c r="Q3" s="40">
        <f>ROUNDDOWN(((S3/5)+T3+X3+Y3+U3+AC3+V3+AA3+(2*(AD3+AE3))+CK3+CM3+CO3+CQ3+CS3+CU3+(CL3*BX3)+(CN3*BZ3)+(CP3*CB3)+(CR3*CD3)+(CT3*CF3)+(CV3*CH3))*CX3,0)</f>
        <v>4355</v>
      </c>
      <c r="R3" s="40">
        <f>ROUNDDOWN(AVERAGE(P3:Q3),0)</f>
        <v>4563</v>
      </c>
      <c r="S3" s="6">
        <f>AG3+AU3+BI3</f>
        <v>3993</v>
      </c>
      <c r="T3" s="6">
        <f>AH3+AV3+BJ3</f>
        <v>238</v>
      </c>
      <c r="U3" s="6">
        <f>AI3+AW3+BK3</f>
        <v>455</v>
      </c>
      <c r="V3" s="6">
        <f>AJ3+AX3+BL3</f>
        <v>107</v>
      </c>
      <c r="W3" s="6">
        <f>AK3+AY3+BM3</f>
        <v>55</v>
      </c>
      <c r="X3" s="6">
        <f>AL3+AZ3+BN3</f>
        <v>449</v>
      </c>
      <c r="Y3" s="6">
        <f>AM3+BA3+BO3</f>
        <v>0</v>
      </c>
      <c r="Z3" s="6">
        <f>AN3+BB3+BP3</f>
        <v>0</v>
      </c>
      <c r="AA3" s="6">
        <f>AO3+BC3+BQ3</f>
        <v>35</v>
      </c>
      <c r="AB3" s="6">
        <f>AP3+BD3+BR3</f>
        <v>11</v>
      </c>
      <c r="AC3" s="6">
        <f>AQ3+BE3+BS3</f>
        <v>199</v>
      </c>
      <c r="AD3" s="6">
        <f>AR3+BF3+BT3</f>
        <v>167</v>
      </c>
      <c r="AE3" s="6">
        <f>AS3+BG3+BU3</f>
        <v>192</v>
      </c>
      <c r="AF3" s="27"/>
      <c r="AG3" s="6">
        <v>406</v>
      </c>
      <c r="AH3" s="6">
        <v>49</v>
      </c>
      <c r="AI3" s="6">
        <v>84</v>
      </c>
      <c r="AJ3" s="6">
        <v>0</v>
      </c>
      <c r="AK3" s="6">
        <v>0</v>
      </c>
      <c r="AL3" s="6">
        <v>45</v>
      </c>
      <c r="AM3" s="6">
        <v>0</v>
      </c>
      <c r="AN3" s="6">
        <v>0</v>
      </c>
      <c r="AO3" s="6">
        <v>0</v>
      </c>
      <c r="AP3" s="6">
        <v>0</v>
      </c>
      <c r="AQ3" s="6">
        <v>0</v>
      </c>
      <c r="AR3" s="6">
        <v>37</v>
      </c>
      <c r="AS3" s="6">
        <v>0</v>
      </c>
      <c r="AT3" s="27"/>
      <c r="AU3" s="6">
        <f>IF($H3=3,IF(OR($F3="DDV",$F3="DDG",$F3="DD"),'Fleet Tech - Tech'!B$3,IF($F3="CL",'Fleet Tech - Tech'!B$4,IF($F3="CA",'Fleet Tech - Tech'!B$5,IF($F3="BC",'Fleet Tech - Tech'!B$6,IF($F3="BB",'Fleet Tech - Tech'!B$7,IF($F3="CVL",'Fleet Tech - Tech'!B$8,IF($F3="CV",'Fleet Tech - Tech'!B$9,IF($F3="SS",'Fleet Tech - Tech'!B$10,IF($F3="BBV",'Fleet Tech - Tech'!B$11,IF($F3="CB",'Fleet Tech - Tech'!B$15,IF($F3="AE",'Fleet Tech - Tech'!B$16,IF($F3="IX",'Fleet Tech - Tech'!B$17,IF($F3="BM",'Fleet Tech - Tech'!B$13,IF($F3="AR",'Fleet Tech - Tech'!B$12,IF($F3="SSV",'Fleet Tech - Tech'!B$14,"nil"))))))))))))))),0)</f>
        <v>43</v>
      </c>
      <c r="AV3" s="6">
        <f>IF($H3=3,IF(OR($F3="DDV",$F3="DDG",$F3="DD"),'Fleet Tech - Tech'!C$3,IF($F3="CL",'Fleet Tech - Tech'!C$4,IF($F3="CA",'Fleet Tech - Tech'!C$5,IF($F3="BC",'Fleet Tech - Tech'!C$6,IF($F3="BB",'Fleet Tech - Tech'!C$7,IF($F3="CVL",'Fleet Tech - Tech'!C$8,IF($F3="CV",'Fleet Tech - Tech'!C$9,IF($F3="SS",'Fleet Tech - Tech'!C$10,IF($F3="BBV",'Fleet Tech - Tech'!C$11,IF($F3="CB",'Fleet Tech - Tech'!C$15,IF($F3="AE",'Fleet Tech - Tech'!C$16,IF($F3="IX",'Fleet Tech - Tech'!C$17,IF($F3="BM",'Fleet Tech - Tech'!C$13,IF($F3="AR",'Fleet Tech - Tech'!C$12,IF($F3="SSV",'Fleet Tech - Tech'!C$14,"nil"))))))))))))))),0)</f>
        <v>2</v>
      </c>
      <c r="AW3" s="6">
        <f>IF($H3=3,IF(OR($F3="DDV",$F3="DDG",$F3="DD"),'Fleet Tech - Tech'!D$3,IF($F3="CL",'Fleet Tech - Tech'!D$4,IF($F3="CA",'Fleet Tech - Tech'!D$5,IF($F3="BC",'Fleet Tech - Tech'!D$6,IF($F3="BB",'Fleet Tech - Tech'!D$7,IF($F3="CVL",'Fleet Tech - Tech'!D$8,IF($F3="CV",'Fleet Tech - Tech'!D$9,IF($F3="SS",'Fleet Tech - Tech'!D$10,IF($F3="BBV",'Fleet Tech - Tech'!D$11,IF($F3="CB",'Fleet Tech - Tech'!D$15,IF($F3="AE",'Fleet Tech - Tech'!D$16,IF($F3="IX",'Fleet Tech - Tech'!D$17,IF($F3="BM",'Fleet Tech - Tech'!D$13,IF($F3="AR",'Fleet Tech - Tech'!D$12,IF($F3="SSV",'Fleet Tech - Tech'!D$14,"nil"))))))))))))))),0)</f>
        <v>11</v>
      </c>
      <c r="AX3" s="6">
        <f>IF($H3=3,IF(OR($F3="DDV",$F3="DDG",$F3="DD"),'Fleet Tech - Tech'!E$3,IF($F3="CL",'Fleet Tech - Tech'!E$4,IF($F3="CA",'Fleet Tech - Tech'!E$5,IF($F3="BC",'Fleet Tech - Tech'!E$6,IF($F3="BB",'Fleet Tech - Tech'!E$7,IF($F3="CVL",'Fleet Tech - Tech'!E$8,IF($F3="CV",'Fleet Tech - Tech'!E$9,IF($F3="SS",'Fleet Tech - Tech'!E$10,IF($F3="BBV",'Fleet Tech - Tech'!E$11,IF($F3="CB",'Fleet Tech - Tech'!E$15,IF($F3="AE",'Fleet Tech - Tech'!E$16,IF($F3="IX",'Fleet Tech - Tech'!E$17,IF($F3="BM",'Fleet Tech - Tech'!E$13,IF($F3="AR",'Fleet Tech - Tech'!E$12,IF($F3="SSV",'Fleet Tech - Tech'!E$14,"nil"))))))))))))))),0)</f>
        <v>3</v>
      </c>
      <c r="AY3" s="6">
        <f>IF($H3=3,IF(OR($F3="DDV",$F3="DDG",$F3="DD"),'Fleet Tech - Tech'!F$3,IF($F3="CL",'Fleet Tech - Tech'!F$4,IF($F3="CA",'Fleet Tech - Tech'!F$5,IF($F3="BC",'Fleet Tech - Tech'!F$6,IF($F3="BB",'Fleet Tech - Tech'!F$7,IF($F3="CVL",'Fleet Tech - Tech'!F$8,IF($F3="CV",'Fleet Tech - Tech'!F$9,IF($F3="SS",'Fleet Tech - Tech'!F$10,IF($F3="BBV",'Fleet Tech - Tech'!F$11,IF($F3="CB",'Fleet Tech - Tech'!F$15,IF($F3="AE",'Fleet Tech - Tech'!F$16,IF($F3="IX",'Fleet Tech - Tech'!F$17,IF($F3="BM",'Fleet Tech - Tech'!F$13,IF($F3="AR",'Fleet Tech - Tech'!F$12,IF($F3="SSV",'Fleet Tech - Tech'!F$14,"nil"))))))))))))))),0)</f>
        <v>0</v>
      </c>
      <c r="AZ3" s="6">
        <f>IF($H3=3,IF(OR($F3="DDV",$F3="DDG",$F3="DD"),'Fleet Tech - Tech'!G$3,IF($F3="CL",'Fleet Tech - Tech'!G$4,IF($F3="CA",'Fleet Tech - Tech'!G$5,IF($F3="BC",'Fleet Tech - Tech'!G$6,IF($F3="BB",'Fleet Tech - Tech'!G$7,IF($F3="CVL",'Fleet Tech - Tech'!G$8,IF($F3="CV",'Fleet Tech - Tech'!G$9,IF($F3="SS",'Fleet Tech - Tech'!G$10,IF($F3="BBV",'Fleet Tech - Tech'!G$11,IF($F3="CB",'Fleet Tech - Tech'!G$15,IF($F3="AE",'Fleet Tech - Tech'!G$16,IF($F3="IX",'Fleet Tech - Tech'!G$17,IF($F3="BM",'Fleet Tech - Tech'!G$13,IF($F3="AR",'Fleet Tech - Tech'!G$12,IF($F3="SSV",'Fleet Tech - Tech'!G$14,"nil"))))))))))))))),0)</f>
        <v>5</v>
      </c>
      <c r="BA3" s="6">
        <f>IF($H3=3,IF(OR($F3="DDV",$F3="DDG",$F3="DD"),'Fleet Tech - Tech'!H$3,IF($F3="CL",'Fleet Tech - Tech'!H$4,IF($F3="CA",'Fleet Tech - Tech'!H$5,IF($F3="BC",'Fleet Tech - Tech'!H$6,IF($F3="BB",'Fleet Tech - Tech'!H$7,IF($F3="CVL",'Fleet Tech - Tech'!H$8,IF($F3="CV",'Fleet Tech - Tech'!H$9,IF($F3="SS",'Fleet Tech - Tech'!H$10,IF($F3="BBV",'Fleet Tech - Tech'!H$11,IF($F3="CB",'Fleet Tech - Tech'!H$15,IF($F3="AE",'Fleet Tech - Tech'!H$16,IF($F3="IX",'Fleet Tech - Tech'!H$17,IF($F3="BM",'Fleet Tech - Tech'!H$13,IF($F3="AR",'Fleet Tech - Tech'!H$12,IF($F3="SSV",'Fleet Tech - Tech'!H$14,"nil"))))))))))))))),0)</f>
        <v>0</v>
      </c>
      <c r="BB3" s="6">
        <f>IF($H3=3,IF(OR($F3="DDV",$F3="DDG",$F3="DD"),'Fleet Tech - Tech'!I$3,IF($F3="CL",'Fleet Tech - Tech'!I$4,IF($F3="CA",'Fleet Tech - Tech'!I$5,IF($F3="BC",'Fleet Tech - Tech'!I$6,IF($F3="BB",'Fleet Tech - Tech'!I$7,IF($F3="CVL",'Fleet Tech - Tech'!I$8,IF($F3="CV",'Fleet Tech - Tech'!I$9,IF($F3="SS",'Fleet Tech - Tech'!I$10,IF($F3="BBV",'Fleet Tech - Tech'!I$11,IF($F3="CB",'Fleet Tech - Tech'!I$15,IF($F3="AE",'Fleet Tech - Tech'!I$16,IF($F3="IX",'Fleet Tech - Tech'!I$17,IF($F3="BM",'Fleet Tech - Tech'!I$13,IF($F3="AR",'Fleet Tech - Tech'!I$12,IF($F3="SSV",'Fleet Tech - Tech'!I$14,"nil"))))))))))))))),0)</f>
        <v>0</v>
      </c>
      <c r="BC3" s="6">
        <f>IF($H3=3,IF(OR($F3="DDV",$F3="DDG",$F3="DD"),'Fleet Tech - Tech'!J$3,IF($F3="CL",'Fleet Tech - Tech'!J$4,IF($F3="CA",'Fleet Tech - Tech'!J$5,IF($F3="BC",'Fleet Tech - Tech'!J$6,IF($F3="BB",'Fleet Tech - Tech'!J$7,IF($F3="CVL",'Fleet Tech - Tech'!J$8,IF($F3="CV",'Fleet Tech - Tech'!J$9,IF($F3="SS",'Fleet Tech - Tech'!J$10,IF($F3="BBV",'Fleet Tech - Tech'!J$11,IF($F3="CB",'Fleet Tech - Tech'!J$15,IF($F3="AE",'Fleet Tech - Tech'!J$16,IF($F3="IX",'Fleet Tech - Tech'!J$17,IF($F3="BM",'Fleet Tech - Tech'!J$13,IF($F3="AR",'Fleet Tech - Tech'!J$12,IF($F3="SSV",'Fleet Tech - Tech'!J$14,"nil"))))))))))))))),0)</f>
        <v>0</v>
      </c>
      <c r="BD3" s="6">
        <f>IF($H3=3,IF(OR($F3="DDV",$F3="DDG",$F3="DD"),'Fleet Tech - Tech'!K$3,IF($F3="CL",'Fleet Tech - Tech'!K$4,IF($F3="CA",'Fleet Tech - Tech'!K$5,IF($F3="BC",'Fleet Tech - Tech'!K$6,IF($F3="BB",'Fleet Tech - Tech'!K$7,IF($F3="CVL",'Fleet Tech - Tech'!K$8,IF($F3="CV",'Fleet Tech - Tech'!K$9,IF($F3="SS",'Fleet Tech - Tech'!K$10,IF($F3="BBV",'Fleet Tech - Tech'!K$11,IF($F3="CB",'Fleet Tech - Tech'!K$15,IF($F3="AE",'Fleet Tech - Tech'!K$16,IF($F3="IX",'Fleet Tech - Tech'!K$17,IF($F3="BM",'Fleet Tech - Tech'!K$13,IF($F3="AR",'Fleet Tech - Tech'!K$12,IF($F3="SSV",'Fleet Tech - Tech'!K$14,"nil"))))))))))))))),0)</f>
        <v>0</v>
      </c>
      <c r="BE3" s="6">
        <f>IF($H3=3,IF(OR($F3="DDV",$F3="DDG",$F3="DD"),'Fleet Tech - Tech'!L$3,IF($F3="CL",'Fleet Tech - Tech'!L$4,IF($F3="CA",'Fleet Tech - Tech'!L$5,IF($F3="BC",'Fleet Tech - Tech'!L$6,IF($F3="BB",'Fleet Tech - Tech'!L$7,IF($F3="CVL",'Fleet Tech - Tech'!L$8,IF($F3="CV",'Fleet Tech - Tech'!L$9,IF($F3="SS",'Fleet Tech - Tech'!L$10,IF($F3="BBV",'Fleet Tech - Tech'!L$11,IF($F3="CB",'Fleet Tech - Tech'!L$15,IF($F3="AE",'Fleet Tech - Tech'!L$16,IF($F3="IX",'Fleet Tech - Tech'!L$17,IF($F3="BM",'Fleet Tech - Tech'!L$13,IF($F3="AR",'Fleet Tech - Tech'!L$12,IF($F3="SSV",'Fleet Tech - Tech'!L$14,"nil"))))))))))))))),0)</f>
        <v>5</v>
      </c>
      <c r="BF3" s="6">
        <f>IF($H3=3,IF(OR($F3="DDV",$F3="DDG",$F3="DD"),'Fleet Tech - Tech'!M$3,IF($F3="CL",'Fleet Tech - Tech'!M$4,IF($F3="CA",'Fleet Tech - Tech'!M$5,IF($F3="BC",'Fleet Tech - Tech'!M$6,IF($F3="BB",'Fleet Tech - Tech'!M$7,IF($F3="CVL",'Fleet Tech - Tech'!M$8,IF($F3="CV",'Fleet Tech - Tech'!M$9,IF($F3="SS",'Fleet Tech - Tech'!M$10,IF($F3="BBV",'Fleet Tech - Tech'!M$11,IF($F3="CB",'Fleet Tech - Tech'!M$15,IF($F3="AE",'Fleet Tech - Tech'!M$16,IF($F3="IX",'Fleet Tech - Tech'!M$17,IF($F3="BM",'Fleet Tech - Tech'!M$13,IF($F3="AR",'Fleet Tech - Tech'!M$12,IF($F3="SSV",'Fleet Tech - Tech'!M$14,"nil"))))))))))))))),0)</f>
        <v>0</v>
      </c>
      <c r="BG3" s="6">
        <f>IF($H3=3,IF(OR($F3="DDV",$F3="DDG",$F3="DD"),'Fleet Tech - Tech'!N$3,IF($F3="CL",'Fleet Tech - Tech'!N$4,IF($F3="CA",'Fleet Tech - Tech'!N$5,IF($F3="BC",'Fleet Tech - Tech'!N$6,IF($F3="BB",'Fleet Tech - Tech'!N$7,IF($F3="CVL",'Fleet Tech - Tech'!N$8,IF($F3="CV",'Fleet Tech - Tech'!N$9,IF($F3="SS",'Fleet Tech - Tech'!N$10,IF($F3="BBV",'Fleet Tech - Tech'!N$11,IF($F3="CB",'Fleet Tech - Tech'!N$15,IF($F3="AE",'Fleet Tech - Tech'!N$16,IF($F3="IX",'Fleet Tech - Tech'!N$17,IF($F3="BM",'Fleet Tech - Tech'!N$13,IF($F3="AR",'Fleet Tech - Tech'!N$12,IF($F3="SSV",'Fleet Tech - Tech'!N$14,"nil"))))))))))))))),0)</f>
        <v>6</v>
      </c>
      <c r="BH3" s="27"/>
      <c r="BI3" s="6">
        <v>3544</v>
      </c>
      <c r="BJ3" s="6">
        <v>187</v>
      </c>
      <c r="BK3" s="6">
        <v>360</v>
      </c>
      <c r="BL3" s="6">
        <v>104</v>
      </c>
      <c r="BM3" s="6">
        <v>55</v>
      </c>
      <c r="BN3" s="6">
        <v>399</v>
      </c>
      <c r="BO3" s="6">
        <v>0</v>
      </c>
      <c r="BP3" s="6">
        <v>0</v>
      </c>
      <c r="BQ3" s="6">
        <v>35</v>
      </c>
      <c r="BR3" s="6">
        <v>11</v>
      </c>
      <c r="BS3" s="6">
        <v>194</v>
      </c>
      <c r="BT3" s="6">
        <v>130</v>
      </c>
      <c r="BU3" s="6">
        <v>186</v>
      </c>
      <c r="BV3" s="6">
        <v>335</v>
      </c>
      <c r="BW3" s="27"/>
      <c r="BX3" s="6">
        <v>4</v>
      </c>
      <c r="BY3" s="6">
        <v>10</v>
      </c>
      <c r="BZ3" s="6">
        <v>4</v>
      </c>
      <c r="CA3" s="6">
        <v>10</v>
      </c>
      <c r="CB3" s="6">
        <v>4</v>
      </c>
      <c r="CC3" s="6">
        <v>10</v>
      </c>
      <c r="CD3" s="6">
        <v>3</v>
      </c>
      <c r="CE3" s="6">
        <v>10</v>
      </c>
      <c r="CF3" s="6">
        <v>4</v>
      </c>
      <c r="CG3" s="6">
        <v>9</v>
      </c>
      <c r="CH3" s="6">
        <v>3</v>
      </c>
      <c r="CI3" s="6">
        <v>10</v>
      </c>
      <c r="CJ3" s="41"/>
      <c r="CK3" s="42">
        <f>IF(BX3=5,320,IF(BX3=4,195,IF(BX3=3,132,IF(BX3=2,90,IF(BX3=1,58,IF(BX3=-1,0,35))))))</f>
        <v>195</v>
      </c>
      <c r="CL3" s="42">
        <f>IF(BX3=5,20,IF(BX3=4,15,IF(BX3=3,12,IF(BX3=2,10,IF(BX3=1,8,IF(BX3=-1,0,5))))))</f>
        <v>15</v>
      </c>
      <c r="CM3" s="42">
        <f>IF(BZ3=5,320,IF(BZ3=4,195,IF(BZ3=3,132,IF(BZ3=2,90,IF(BZ3=1,58,IF(BZ3=-1,0,35))))))</f>
        <v>195</v>
      </c>
      <c r="CN3" s="42">
        <f>IF(BZ3=5,20,IF(BZ3=4,15,IF(BZ3=3,12,IF(BZ3=2,10,IF(BZ3=1,8,IF(BZ3=-1,0,5))))))</f>
        <v>15</v>
      </c>
      <c r="CO3" s="42">
        <f>IF(CB3=5,320,IF(CB3=4,195,IF(CB3=3,132,IF(CB3=2,90,IF(CB3=1,58,IF(CB3=-1,0,35))))))</f>
        <v>195</v>
      </c>
      <c r="CP3" s="42">
        <f>IF(CB3=5,20,IF(CB3=4,15,IF(CB3=3,12,IF(CB3=2,10,IF(CB3=1,8,IF(CB3=-1,0,5))))))</f>
        <v>15</v>
      </c>
      <c r="CQ3" s="42">
        <f>IF(CD3=5,320,IF(CD3=4,195,IF(CD3=3,132,IF(CD3=2,90,IF(CD3=1,58,IF(CD3=-1,0,35))))))</f>
        <v>132</v>
      </c>
      <c r="CR3" s="42">
        <f>IF(CD3=5,20,IF(CD3=4,15,IF(CD3=3,12,IF(CD3=2,10,IF(CD3=1,8,IF(CD3=-1,0,5))))))</f>
        <v>12</v>
      </c>
      <c r="CS3" s="42">
        <f>IF(CF3=5,320,IF(CF3=4,195,IF(CF3=3,132,IF(CF3=2,90,IF(CF3=1,58,IF(CF3=-1,0,35))))))</f>
        <v>195</v>
      </c>
      <c r="CT3" s="42">
        <f>IF(CF3=5,20,IF(CF3=4,15,IF(CF3=3,12,IF(CF3=2,10,IF(CF3=1,8,IF(CF3=-1,0,5))))))</f>
        <v>15</v>
      </c>
      <c r="CU3" s="42">
        <f>IF(CH3=5,320,IF(CH3=4,195,IF(CH3=3,132,IF(CH3=2,90,IF(CH3=1,58,IF(CH3=-1,0,35))))))</f>
        <v>132</v>
      </c>
      <c r="CV3" s="42">
        <f>IF(CH3=5,20,IF(CH3=4,15,IF(CH3=3,12,IF(CH3=2,10,IF(CH3=1,8,IF(CH3=-1,0,5))))))</f>
        <v>12</v>
      </c>
      <c r="CW3" s="42">
        <f>IF(BY3&gt;10,(BY3/10)-ROUNDDOWN(BY3/10,0),0)+IF(CA3&gt;10,(CA3/10)-ROUNDDOWN(CA3/10,0),0)+IF(CC3&gt;10,(CC3/10)-ROUNDDOWN(CC3/10,0),0)+IF(CE3&gt;10,(CE3/10)-ROUNDDOWN(CE3/10,0),0)+IF(CG3&gt;10,(CG3/10)-ROUNDDOWN(CG3/10,0),0)+IF(CI3&gt;10,(CI3/10)-ROUNDDOWN(CI3/10,0),0)</f>
        <v>0</v>
      </c>
      <c r="CX3" s="42">
        <f>1+(CW3/10)</f>
        <v>1</v>
      </c>
    </row>
    <row r="4" ht="20.05" customHeight="1">
      <c r="A4" t="s" s="43">
        <v>238</v>
      </c>
      <c r="B4" t="s" s="44">
        <v>239</v>
      </c>
      <c r="C4" t="s" s="45">
        <v>73</v>
      </c>
      <c r="D4" s="13">
        <v>1</v>
      </c>
      <c r="E4" t="s" s="15">
        <v>240</v>
      </c>
      <c r="F4" t="s" s="15">
        <v>241</v>
      </c>
      <c r="G4" t="s" s="15">
        <v>234</v>
      </c>
      <c r="H4" s="12">
        <v>3</v>
      </c>
      <c r="I4" t="s" s="15">
        <v>235</v>
      </c>
      <c r="J4" s="12">
        <v>125</v>
      </c>
      <c r="K4" t="s" s="14">
        <v>242</v>
      </c>
      <c r="L4" t="s" s="15">
        <v>237</v>
      </c>
      <c r="M4" t="s" s="15">
        <v>19</v>
      </c>
      <c r="N4" s="46">
        <f>ROUND((SUM(AA4,T4:Y4,AC4:AE4,Z4*10)-AB4*15)*(IF(K4="Heavy",0.15,IF(K4="Medium",0,IF(K4="Light",-0.15,10)))+1),0)</f>
        <v>1389</v>
      </c>
      <c r="O4" s="46">
        <v>4990</v>
      </c>
      <c r="P4" s="46">
        <f>ROUNDDOWN((BI4+AU4+AG4)/5,0)+(BJ4+AV4+AH4)+(BN4+AZ4+AL4)+(BO4+BA4+AM4)+(BK4+AW4+AI4)+(BS4+BE4+AQ4)+(BL4+AX4+AJ4)+(BQ4+BC4+AO4)+(2*((BT4+BF4+AR4)+(BU4+BG4+AS4)))+(CK4+CM4+CO4+CQ4+CS4+CU4)+(CL4*BY4)+(CN4*CA4)+(CP4+CC4)+(CR4+CE4)+(CT4+CG4)+(CV4+CI4)+BV4</f>
        <v>5090</v>
      </c>
      <c r="Q4" s="46">
        <f>ROUNDDOWN(((S4/5)+T4+X4+Y4+U4+AC4+V4+AA4+(2*(AD4+AE4))+CK4+CM4+CO4+CQ4+CS4+CU4+(CL4*BX4)+(CN4*BZ4)+(CP4*CB4)+(CR4*CD4)+(CT4*CF4)+(CV4*CH4))*CX4,0)</f>
        <v>4833</v>
      </c>
      <c r="R4" s="46">
        <f>ROUNDDOWN(AVERAGE(P4:Q4),0)</f>
        <v>4961</v>
      </c>
      <c r="S4" s="12">
        <f>AG4+AU4+BI4</f>
        <v>7470</v>
      </c>
      <c r="T4" s="12">
        <f>AH4+AV4+BJ4</f>
        <v>0</v>
      </c>
      <c r="U4" s="12">
        <f>AI4+AW4+BK4</f>
        <v>377</v>
      </c>
      <c r="V4" s="12">
        <f>AJ4+AX4+BL4</f>
        <v>0</v>
      </c>
      <c r="W4" s="12">
        <f>AK4+AY4+BM4</f>
        <v>49</v>
      </c>
      <c r="X4" s="12">
        <f>AL4+AZ4+BN4</f>
        <v>0</v>
      </c>
      <c r="Y4" s="12">
        <f>AM4+BA4+BO4</f>
        <v>816</v>
      </c>
      <c r="Z4" s="12">
        <f>AN4+BB4+BP4</f>
        <v>0</v>
      </c>
      <c r="AA4" s="12">
        <f>AO4+BC4+BQ4</f>
        <v>34</v>
      </c>
      <c r="AB4" s="12">
        <f>AP4+BD4+BR4</f>
        <v>13</v>
      </c>
      <c r="AC4" s="12">
        <f>AQ4+BE4+BS4</f>
        <v>132</v>
      </c>
      <c r="AD4" s="12">
        <f>AR4+BF4+BT4</f>
        <v>79</v>
      </c>
      <c r="AE4" s="12">
        <f>AS4+BG4+BU4</f>
        <v>97</v>
      </c>
      <c r="AF4" s="28"/>
      <c r="AG4" s="12">
        <v>150</v>
      </c>
      <c r="AH4" s="12">
        <v>0</v>
      </c>
      <c r="AI4" s="12">
        <v>0</v>
      </c>
      <c r="AJ4" s="12">
        <v>0</v>
      </c>
      <c r="AK4" s="12">
        <v>0</v>
      </c>
      <c r="AL4" s="12">
        <v>0</v>
      </c>
      <c r="AM4" s="12">
        <v>365</v>
      </c>
      <c r="AN4" s="12">
        <v>0</v>
      </c>
      <c r="AO4" s="12">
        <v>0</v>
      </c>
      <c r="AP4" s="12">
        <v>0</v>
      </c>
      <c r="AQ4" s="12">
        <v>0</v>
      </c>
      <c r="AR4" s="12">
        <v>18</v>
      </c>
      <c r="AS4" s="12">
        <v>0</v>
      </c>
      <c r="AT4" s="28"/>
      <c r="AU4" s="12">
        <f>IF($H4=3,IF(OR($F4="DDV",$F4="DDG",$F4="DD"),'Fleet Tech - Tech'!B$3,IF($F4="CL",'Fleet Tech - Tech'!B$4,IF($F4="CA",'Fleet Tech - Tech'!B$5,IF($F4="BC",'Fleet Tech - Tech'!B$6,IF($F4="BB",'Fleet Tech - Tech'!B$7,IF($F4="CVL",'Fleet Tech - Tech'!B$8,IF($F4="CV",'Fleet Tech - Tech'!B$9,IF($F4="SS",'Fleet Tech - Tech'!B$10,IF($F4="BBV",'Fleet Tech - Tech'!B$11,IF($F4="CB",'Fleet Tech - Tech'!B$15,IF($F4="AE",'Fleet Tech - Tech'!B$16,IF($F4="IX",'Fleet Tech - Tech'!B$17,IF($F4="BM",'Fleet Tech - Tech'!B$13,IF($F4="AR",'Fleet Tech - Tech'!B$12,IF($F4="SSV",'Fleet Tech - Tech'!B$14,"nil"))))))))))))))),0)</f>
        <v>45</v>
      </c>
      <c r="AV4" s="12">
        <f>IF($H4=3,IF(OR($F4="DDV",$F4="DDG",$F4="DD"),'Fleet Tech - Tech'!C$3,IF($F4="CL",'Fleet Tech - Tech'!C$4,IF($F4="CA",'Fleet Tech - Tech'!C$5,IF($F4="BC",'Fleet Tech - Tech'!C$6,IF($F4="BB",'Fleet Tech - Tech'!C$7,IF($F4="CVL",'Fleet Tech - Tech'!C$8,IF($F4="CV",'Fleet Tech - Tech'!C$9,IF($F4="SS",'Fleet Tech - Tech'!C$10,IF($F4="BBV",'Fleet Tech - Tech'!C$11,IF($F4="CB",'Fleet Tech - Tech'!C$15,IF($F4="AE",'Fleet Tech - Tech'!C$16,IF($F4="IX",'Fleet Tech - Tech'!C$17,IF($F4="BM",'Fleet Tech - Tech'!C$13,IF($F4="AR",'Fleet Tech - Tech'!C$12,IF($F4="SSV",'Fleet Tech - Tech'!C$14,"nil"))))))))))))))),0)</f>
        <v>0</v>
      </c>
      <c r="AW4" s="12">
        <f>IF($H4=3,IF(OR($F4="DDV",$F4="DDG",$F4="DD"),'Fleet Tech - Tech'!D$3,IF($F4="CL",'Fleet Tech - Tech'!D$4,IF($F4="CA",'Fleet Tech - Tech'!D$5,IF($F4="BC",'Fleet Tech - Tech'!D$6,IF($F4="BB",'Fleet Tech - Tech'!D$7,IF($F4="CVL",'Fleet Tech - Tech'!D$8,IF($F4="CV",'Fleet Tech - Tech'!D$9,IF($F4="SS",'Fleet Tech - Tech'!D$10,IF($F4="BBV",'Fleet Tech - Tech'!D$11,IF($F4="CB",'Fleet Tech - Tech'!D$15,IF($F4="AE",'Fleet Tech - Tech'!D$16,IF($F4="IX",'Fleet Tech - Tech'!D$17,IF($F4="BM",'Fleet Tech - Tech'!D$13,IF($F4="AR",'Fleet Tech - Tech'!D$12,IF($F4="SSV",'Fleet Tech - Tech'!D$14,"nil"))))))))))))))),0)</f>
        <v>0</v>
      </c>
      <c r="AX4" s="12">
        <f>IF($H4=3,IF(OR($F4="DDV",$F4="DDG",$F4="DD"),'Fleet Tech - Tech'!E$3,IF($F4="CL",'Fleet Tech - Tech'!E$4,IF($F4="CA",'Fleet Tech - Tech'!E$5,IF($F4="BC",'Fleet Tech - Tech'!E$6,IF($F4="BB",'Fleet Tech - Tech'!E$7,IF($F4="CVL",'Fleet Tech - Tech'!E$8,IF($F4="CV",'Fleet Tech - Tech'!E$9,IF($F4="SS",'Fleet Tech - Tech'!E$10,IF($F4="BBV",'Fleet Tech - Tech'!E$11,IF($F4="CB",'Fleet Tech - Tech'!E$15,IF($F4="AE",'Fleet Tech - Tech'!E$16,IF($F4="IX",'Fleet Tech - Tech'!E$17,IF($F4="BM",'Fleet Tech - Tech'!E$13,IF($F4="AR",'Fleet Tech - Tech'!E$12,IF($F4="SSV",'Fleet Tech - Tech'!E$14,"nil"))))))))))))))),0)</f>
        <v>0</v>
      </c>
      <c r="AY4" s="12">
        <f>IF($H4=3,IF(OR($F4="DDV",$F4="DDG",$F4="DD"),'Fleet Tech - Tech'!F$3,IF($F4="CL",'Fleet Tech - Tech'!F$4,IF($F4="CA",'Fleet Tech - Tech'!F$5,IF($F4="BC",'Fleet Tech - Tech'!F$6,IF($F4="BB",'Fleet Tech - Tech'!F$7,IF($F4="CVL",'Fleet Tech - Tech'!F$8,IF($F4="CV",'Fleet Tech - Tech'!F$9,IF($F4="SS",'Fleet Tech - Tech'!F$10,IF($F4="BBV",'Fleet Tech - Tech'!F$11,IF($F4="CB",'Fleet Tech - Tech'!F$15,IF($F4="AE",'Fleet Tech - Tech'!F$16,IF($F4="IX",'Fleet Tech - Tech'!F$17,IF($F4="BM",'Fleet Tech - Tech'!F$13,IF($F4="AR",'Fleet Tech - Tech'!F$12,IF($F4="SSV",'Fleet Tech - Tech'!F$14,"nil"))))))))))))))),0)</f>
        <v>0</v>
      </c>
      <c r="AZ4" s="12">
        <f>IF($H4=3,IF(OR($F4="DDV",$F4="DDG",$F4="DD"),'Fleet Tech - Tech'!G$3,IF($F4="CL",'Fleet Tech - Tech'!G$4,IF($F4="CA",'Fleet Tech - Tech'!G$5,IF($F4="BC",'Fleet Tech - Tech'!G$6,IF($F4="BB",'Fleet Tech - Tech'!G$7,IF($F4="CVL",'Fleet Tech - Tech'!G$8,IF($F4="CV",'Fleet Tech - Tech'!G$9,IF($F4="SS",'Fleet Tech - Tech'!G$10,IF($F4="BBV",'Fleet Tech - Tech'!G$11,IF($F4="CB",'Fleet Tech - Tech'!G$15,IF($F4="AE",'Fleet Tech - Tech'!G$16,IF($F4="IX",'Fleet Tech - Tech'!G$17,IF($F4="BM",'Fleet Tech - Tech'!G$13,IF($F4="AR",'Fleet Tech - Tech'!G$12,IF($F4="SSV",'Fleet Tech - Tech'!G$14,"nil"))))))))))))))),0)</f>
        <v>0</v>
      </c>
      <c r="BA4" s="12">
        <f>IF($H4=3,IF(OR($F4="DDV",$F4="DDG",$F4="DD"),'Fleet Tech - Tech'!H$3,IF($F4="CL",'Fleet Tech - Tech'!H$4,IF($F4="CA",'Fleet Tech - Tech'!H$5,IF($F4="BC",'Fleet Tech - Tech'!H$6,IF($F4="BB",'Fleet Tech - Tech'!H$7,IF($F4="CVL",'Fleet Tech - Tech'!H$8,IF($F4="CV",'Fleet Tech - Tech'!H$9,IF($F4="SS",'Fleet Tech - Tech'!H$10,IF($F4="BBV",'Fleet Tech - Tech'!H$11,IF($F4="CB",'Fleet Tech - Tech'!H$15,IF($F4="AE",'Fleet Tech - Tech'!H$16,IF($F4="IX",'Fleet Tech - Tech'!H$17,IF($F4="BM",'Fleet Tech - Tech'!H$13,IF($F4="AR",'Fleet Tech - Tech'!H$12,IF($F4="SSV",'Fleet Tech - Tech'!H$14,"nil"))))))))))))))),0)</f>
        <v>10</v>
      </c>
      <c r="BB4" s="12">
        <f>IF($H4=3,IF(OR($F4="DDV",$F4="DDG",$F4="DD"),'Fleet Tech - Tech'!I$3,IF($F4="CL",'Fleet Tech - Tech'!I$4,IF($F4="CA",'Fleet Tech - Tech'!I$5,IF($F4="BC",'Fleet Tech - Tech'!I$6,IF($F4="BB",'Fleet Tech - Tech'!I$7,IF($F4="CVL",'Fleet Tech - Tech'!I$8,IF($F4="CV",'Fleet Tech - Tech'!I$9,IF($F4="SS",'Fleet Tech - Tech'!I$10,IF($F4="BBV",'Fleet Tech - Tech'!I$11,IF($F4="CB",'Fleet Tech - Tech'!I$15,IF($F4="AE",'Fleet Tech - Tech'!I$16,IF($F4="IX",'Fleet Tech - Tech'!I$17,IF($F4="BM",'Fleet Tech - Tech'!I$13,IF($F4="AR",'Fleet Tech - Tech'!I$12,IF($F4="SSV",'Fleet Tech - Tech'!I$14,"nil"))))))))))))))),0)</f>
        <v>0</v>
      </c>
      <c r="BC4" s="12">
        <f>IF($H4=3,IF(OR($F4="DDV",$F4="DDG",$F4="DD"),'Fleet Tech - Tech'!J$3,IF($F4="CL",'Fleet Tech - Tech'!J$4,IF($F4="CA",'Fleet Tech - Tech'!J$5,IF($F4="BC",'Fleet Tech - Tech'!J$6,IF($F4="BB",'Fleet Tech - Tech'!J$7,IF($F4="CVL",'Fleet Tech - Tech'!J$8,IF($F4="CV",'Fleet Tech - Tech'!J$9,IF($F4="SS",'Fleet Tech - Tech'!J$10,IF($F4="BBV",'Fleet Tech - Tech'!J$11,IF($F4="CB",'Fleet Tech - Tech'!J$15,IF($F4="AE",'Fleet Tech - Tech'!J$16,IF($F4="IX",'Fleet Tech - Tech'!J$17,IF($F4="BM",'Fleet Tech - Tech'!J$13,IF($F4="AR",'Fleet Tech - Tech'!J$12,IF($F4="SSV",'Fleet Tech - Tech'!J$14,"nil"))))))))))))))),0)</f>
        <v>0</v>
      </c>
      <c r="BD4" s="12">
        <f>IF($H4=3,IF(OR($F4="DDV",$F4="DDG",$F4="DD"),'Fleet Tech - Tech'!K$3,IF($F4="CL",'Fleet Tech - Tech'!K$4,IF($F4="CA",'Fleet Tech - Tech'!K$5,IF($F4="BC",'Fleet Tech - Tech'!K$6,IF($F4="BB",'Fleet Tech - Tech'!K$7,IF($F4="CVL",'Fleet Tech - Tech'!K$8,IF($F4="CV",'Fleet Tech - Tech'!K$9,IF($F4="SS",'Fleet Tech - Tech'!K$10,IF($F4="BBV",'Fleet Tech - Tech'!K$11,IF($F4="CB",'Fleet Tech - Tech'!K$15,IF($F4="AE",'Fleet Tech - Tech'!K$16,IF($F4="IX",'Fleet Tech - Tech'!K$17,IF($F4="BM",'Fleet Tech - Tech'!K$13,IF($F4="AR",'Fleet Tech - Tech'!K$12,IF($F4="SSV",'Fleet Tech - Tech'!K$14,"nil"))))))))))))))),0)</f>
        <v>0</v>
      </c>
      <c r="BE4" s="12">
        <f>IF($H4=3,IF(OR($F4="DDV",$F4="DDG",$F4="DD"),'Fleet Tech - Tech'!L$3,IF($F4="CL",'Fleet Tech - Tech'!L$4,IF($F4="CA",'Fleet Tech - Tech'!L$5,IF($F4="BC",'Fleet Tech - Tech'!L$6,IF($F4="BB",'Fleet Tech - Tech'!L$7,IF($F4="CVL",'Fleet Tech - Tech'!L$8,IF($F4="CV",'Fleet Tech - Tech'!L$9,IF($F4="SS",'Fleet Tech - Tech'!L$10,IF($F4="BBV",'Fleet Tech - Tech'!L$11,IF($F4="CB",'Fleet Tech - Tech'!L$15,IF($F4="AE",'Fleet Tech - Tech'!L$16,IF($F4="IX",'Fleet Tech - Tech'!L$17,IF($F4="BM",'Fleet Tech - Tech'!L$13,IF($F4="AR",'Fleet Tech - Tech'!L$12,IF($F4="SSV",'Fleet Tech - Tech'!L$14,"nil"))))))))))))))),0)</f>
        <v>4</v>
      </c>
      <c r="BF4" s="12">
        <f>IF($H4=3,IF(OR($F4="DDV",$F4="DDG",$F4="DD"),'Fleet Tech - Tech'!M$3,IF($F4="CL",'Fleet Tech - Tech'!M$4,IF($F4="CA",'Fleet Tech - Tech'!M$5,IF($F4="BC",'Fleet Tech - Tech'!M$6,IF($F4="BB",'Fleet Tech - Tech'!M$7,IF($F4="CVL",'Fleet Tech - Tech'!M$8,IF($F4="CV",'Fleet Tech - Tech'!M$9,IF($F4="SS",'Fleet Tech - Tech'!M$10,IF($F4="BBV",'Fleet Tech - Tech'!M$11,IF($F4="CB",'Fleet Tech - Tech'!M$15,IF($F4="AE",'Fleet Tech - Tech'!M$16,IF($F4="IX",'Fleet Tech - Tech'!M$17,IF($F4="BM",'Fleet Tech - Tech'!M$13,IF($F4="AR",'Fleet Tech - Tech'!M$12,IF($F4="SSV",'Fleet Tech - Tech'!M$14,"nil"))))))))))))))),0)</f>
        <v>0</v>
      </c>
      <c r="BG4" s="12">
        <f>IF($H4=3,IF(OR($F4="DDV",$F4="DDG",$F4="DD"),'Fleet Tech - Tech'!N$3,IF($F4="CL",'Fleet Tech - Tech'!N$4,IF($F4="CA",'Fleet Tech - Tech'!N$5,IF($F4="BC",'Fleet Tech - Tech'!N$6,IF($F4="BB",'Fleet Tech - Tech'!N$7,IF($F4="CVL",'Fleet Tech - Tech'!N$8,IF($F4="CV",'Fleet Tech - Tech'!N$9,IF($F4="SS",'Fleet Tech - Tech'!N$10,IF($F4="BBV",'Fleet Tech - Tech'!N$11,IF($F4="CB",'Fleet Tech - Tech'!N$15,IF($F4="AE",'Fleet Tech - Tech'!N$16,IF($F4="IX",'Fleet Tech - Tech'!N$17,IF($F4="BM",'Fleet Tech - Tech'!N$13,IF($F4="AR",'Fleet Tech - Tech'!N$12,IF($F4="SSV",'Fleet Tech - Tech'!N$14,"nil"))))))))))))))),0)</f>
        <v>2</v>
      </c>
      <c r="BH4" s="28"/>
      <c r="BI4" s="12">
        <v>7275</v>
      </c>
      <c r="BJ4" s="12">
        <v>0</v>
      </c>
      <c r="BK4" s="12">
        <v>377</v>
      </c>
      <c r="BL4" s="12">
        <v>0</v>
      </c>
      <c r="BM4" s="12">
        <v>49</v>
      </c>
      <c r="BN4" s="12">
        <v>0</v>
      </c>
      <c r="BO4" s="12">
        <v>441</v>
      </c>
      <c r="BP4" s="12">
        <v>0</v>
      </c>
      <c r="BQ4" s="12">
        <v>34</v>
      </c>
      <c r="BR4" s="12">
        <v>13</v>
      </c>
      <c r="BS4" s="12">
        <v>128</v>
      </c>
      <c r="BT4" s="12">
        <v>61</v>
      </c>
      <c r="BU4" s="12">
        <v>95</v>
      </c>
      <c r="BV4" s="12">
        <v>335</v>
      </c>
      <c r="BW4" s="28"/>
      <c r="BX4" s="12">
        <v>4</v>
      </c>
      <c r="BY4" s="12">
        <v>11</v>
      </c>
      <c r="BZ4" s="12">
        <v>4</v>
      </c>
      <c r="CA4" s="12">
        <v>12</v>
      </c>
      <c r="CB4" s="12">
        <v>4</v>
      </c>
      <c r="CC4" s="12">
        <v>11</v>
      </c>
      <c r="CD4" s="12">
        <v>4</v>
      </c>
      <c r="CE4" s="12">
        <v>10</v>
      </c>
      <c r="CF4" s="12">
        <v>4</v>
      </c>
      <c r="CG4" s="12">
        <v>10</v>
      </c>
      <c r="CH4" s="12">
        <v>3</v>
      </c>
      <c r="CI4" s="12">
        <v>10</v>
      </c>
      <c r="CJ4" s="47"/>
      <c r="CK4" s="48">
        <f>IF(BX4=5,320,IF(BX4=4,195,IF(BX4=3,132,IF(BX4=2,90,IF(BX4=1,58,IF(BX4=-1,0,35))))))</f>
        <v>195</v>
      </c>
      <c r="CL4" s="48">
        <f>IF(BX4=5,20,IF(BX4=4,15,IF(BX4=3,12,IF(BX4=2,10,IF(BX4=1,8,IF(BX4=-1,0,5))))))</f>
        <v>15</v>
      </c>
      <c r="CM4" s="48">
        <f>IF(BZ4=5,320,IF(BZ4=4,195,IF(BZ4=3,132,IF(BZ4=2,90,IF(BZ4=1,58,IF(BZ4=-1,0,35))))))</f>
        <v>195</v>
      </c>
      <c r="CN4" s="48">
        <f>IF(BZ4=5,20,IF(BZ4=4,15,IF(BZ4=3,12,IF(BZ4=2,10,IF(BZ4=1,8,IF(BZ4=-1,0,5))))))</f>
        <v>15</v>
      </c>
      <c r="CO4" s="48">
        <f>IF(CB4=5,320,IF(CB4=4,195,IF(CB4=3,132,IF(CB4=2,90,IF(CB4=1,58,IF(CB4=-1,0,35))))))</f>
        <v>195</v>
      </c>
      <c r="CP4" s="48">
        <f>IF(CB4=5,20,IF(CB4=4,15,IF(CB4=3,12,IF(CB4=2,10,IF(CB4=1,8,IF(CB4=-1,0,5))))))</f>
        <v>15</v>
      </c>
      <c r="CQ4" s="48">
        <f>IF(CD4=5,320,IF(CD4=4,195,IF(CD4=3,132,IF(CD4=2,90,IF(CD4=1,58,IF(CD4=-1,0,35))))))</f>
        <v>195</v>
      </c>
      <c r="CR4" s="48">
        <f>IF(CD4=5,20,IF(CD4=4,15,IF(CD4=3,12,IF(CD4=2,10,IF(CD4=1,8,IF(CD4=-1,0,5))))))</f>
        <v>15</v>
      </c>
      <c r="CS4" s="48">
        <f>IF(CF4=5,320,IF(CF4=4,195,IF(CF4=3,132,IF(CF4=2,90,IF(CF4=1,58,IF(CF4=-1,0,35))))))</f>
        <v>195</v>
      </c>
      <c r="CT4" s="48">
        <f>IF(CF4=5,20,IF(CF4=4,15,IF(CF4=3,12,IF(CF4=2,10,IF(CF4=1,8,IF(CF4=-1,0,5))))))</f>
        <v>15</v>
      </c>
      <c r="CU4" s="48">
        <f>IF(CH4=5,320,IF(CH4=4,195,IF(CH4=3,132,IF(CH4=2,90,IF(CH4=1,58,IF(CH4=-1,0,35))))))</f>
        <v>132</v>
      </c>
      <c r="CV4" s="48">
        <f>IF(CH4=5,20,IF(CH4=4,15,IF(CH4=3,12,IF(CH4=2,10,IF(CH4=1,8,IF(CH4=-1,0,5))))))</f>
        <v>12</v>
      </c>
      <c r="CW4" s="48">
        <f>IF(BY4&gt;10,(BY4/10)-ROUNDDOWN(BY4/10,0),0)+IF(CA4&gt;10,(CA4/10)-ROUNDDOWN(CA4/10,0),0)+IF(CC4&gt;10,(CC4/10)-ROUNDDOWN(CC4/10,0),0)+IF(CE4&gt;10,(CE4/10)-ROUNDDOWN(CE4/10,0),0)+IF(CG4&gt;10,(CG4/10)-ROUNDDOWN(CG4/10,0),0)+IF(CI4&gt;10,(CI4/10)-ROUNDDOWN(CI4/10,0),0)</f>
        <v>0.4</v>
      </c>
      <c r="CX4" s="48">
        <f>1+(CW4/10)</f>
        <v>1.04</v>
      </c>
    </row>
    <row r="5" ht="20.05" customHeight="1">
      <c r="A5" t="s" s="43">
        <v>243</v>
      </c>
      <c r="B5" t="s" s="44">
        <v>244</v>
      </c>
      <c r="C5" t="s" s="45">
        <v>73</v>
      </c>
      <c r="D5" s="13">
        <v>1</v>
      </c>
      <c r="E5" t="s" s="15">
        <v>240</v>
      </c>
      <c r="F5" t="s" s="15">
        <v>241</v>
      </c>
      <c r="G5" t="s" s="15">
        <v>245</v>
      </c>
      <c r="H5" s="12">
        <v>3</v>
      </c>
      <c r="I5" t="s" s="15">
        <v>246</v>
      </c>
      <c r="J5" s="12">
        <v>125</v>
      </c>
      <c r="K5" t="s" s="14">
        <v>242</v>
      </c>
      <c r="L5" t="s" s="15">
        <v>247</v>
      </c>
      <c r="M5" t="s" s="15">
        <v>248</v>
      </c>
      <c r="N5" s="46">
        <f>ROUND((SUM(AA5,T5:Y5,AC5:AE5,Z5*10)-AB5*15)*(IF(K5="Heavy",0.15,IF(K5="Medium",0,IF(K5="Light",-0.15,10)))+1),0)</f>
        <v>1329</v>
      </c>
      <c r="O5" s="46">
        <v>4592</v>
      </c>
      <c r="P5" s="46">
        <f>ROUNDDOWN((BI5+AU5+AG5)/5,0)+(BJ5+AV5+AH5)+(BN5+AZ5+AL5)+(BO5+BA5+AM5)+(BK5+AW5+AI5)+(BS5+BE5+AQ5)+(BL5+AX5+AJ5)+(BQ5+BC5+AO5)+(2*((BT5+BF5+AR5)+(BU5+BG5+AS5)))+(CK5+CM5+CO5+CQ5+CS5+CU5)+(CL5*BY5)+(CN5*CA5)+(CP5+CC5)+(CR5+CE5)+(CT5+CG5)+(CV5+CI5)+BV5</f>
        <v>4003</v>
      </c>
      <c r="Q5" s="46">
        <f>ROUNDDOWN(((S5/5)+T5+X5+Y5+U5+AC5+V5+AA5+(2*(AD5+AE5))+CK5+CM5+CO5+CQ5+CS5+CU5+(CL5*BX5)+(CN5*BZ5)+(CP5*CB5)+(CR5*CD5)+(CT5*CF5)+(CV5*CH5))*CX5,0)</f>
        <v>3698</v>
      </c>
      <c r="R5" s="46">
        <f>ROUNDDOWN(AVERAGE(P5:Q5),0)</f>
        <v>3850</v>
      </c>
      <c r="S5" s="12">
        <f>AG5+AU5+BI5</f>
        <v>2418</v>
      </c>
      <c r="T5" s="12">
        <f>AH5+AV5+BJ5</f>
        <v>0</v>
      </c>
      <c r="U5" s="12">
        <f>AI5+AW5+BK5</f>
        <v>340</v>
      </c>
      <c r="V5" s="12">
        <f>AJ5+AX5+BL5</f>
        <v>0</v>
      </c>
      <c r="W5" s="12">
        <f>AK5+AY5+BM5</f>
        <v>36</v>
      </c>
      <c r="X5" s="12">
        <f>AL5+AZ5+BN5</f>
        <v>0</v>
      </c>
      <c r="Y5" s="12">
        <f>AM5+BA5+BO5</f>
        <v>824</v>
      </c>
      <c r="Z5" s="12">
        <f>AN5+BB5+BP5</f>
        <v>0</v>
      </c>
      <c r="AA5" s="12">
        <f>AO5+BC5+BQ5</f>
        <v>34</v>
      </c>
      <c r="AB5" s="12">
        <f>AP5+BD5+BR5</f>
        <v>14</v>
      </c>
      <c r="AC5" s="12">
        <f>AQ5+BE5+BS5</f>
        <v>144</v>
      </c>
      <c r="AD5" s="12">
        <f>AR5+BF5+BT5</f>
        <v>52</v>
      </c>
      <c r="AE5" s="12">
        <f>AS5+BG5+BU5</f>
        <v>109</v>
      </c>
      <c r="AF5" s="28"/>
      <c r="AG5" s="12">
        <v>160</v>
      </c>
      <c r="AH5" s="12">
        <v>0</v>
      </c>
      <c r="AI5" s="12">
        <v>18</v>
      </c>
      <c r="AJ5" s="12">
        <v>0</v>
      </c>
      <c r="AK5" s="12">
        <v>0</v>
      </c>
      <c r="AL5" s="12">
        <v>0</v>
      </c>
      <c r="AM5" s="12">
        <v>377</v>
      </c>
      <c r="AN5" s="12">
        <v>0</v>
      </c>
      <c r="AO5" s="12">
        <v>0</v>
      </c>
      <c r="AP5" s="12">
        <v>0</v>
      </c>
      <c r="AQ5" s="12">
        <v>0</v>
      </c>
      <c r="AR5" s="12">
        <v>0</v>
      </c>
      <c r="AS5" s="12">
        <v>0</v>
      </c>
      <c r="AT5" s="28"/>
      <c r="AU5" s="12">
        <f>IF($H5=3,IF(OR($F5="DDV",$F5="DDG",$F5="DD"),'Fleet Tech - Tech'!B$3,IF($F5="CL",'Fleet Tech - Tech'!B$4,IF($F5="CA",'Fleet Tech - Tech'!B$5,IF($F5="BC",'Fleet Tech - Tech'!B$6,IF($F5="BB",'Fleet Tech - Tech'!B$7,IF($F5="CVL",'Fleet Tech - Tech'!B$8,IF($F5="CV",'Fleet Tech - Tech'!B$9,IF($F5="SS",'Fleet Tech - Tech'!B$10,IF($F5="BBV",'Fleet Tech - Tech'!B$11,IF($F5="CB",'Fleet Tech - Tech'!B$15,IF($F5="AE",'Fleet Tech - Tech'!B$16,IF($F5="IX",'Fleet Tech - Tech'!B$17,IF($F5="BM",'Fleet Tech - Tech'!B$13,IF($F5="AR",'Fleet Tech - Tech'!B$12,IF($F5="SSV",'Fleet Tech - Tech'!B$14,"nil"))))))))))))))),0)</f>
        <v>45</v>
      </c>
      <c r="AV5" s="12">
        <f>IF($H5=3,IF(OR($F5="DDV",$F5="DDG",$F5="DD"),'Fleet Tech - Tech'!C$3,IF($F5="CL",'Fleet Tech - Tech'!C$4,IF($F5="CA",'Fleet Tech - Tech'!C$5,IF($F5="BC",'Fleet Tech - Tech'!C$6,IF($F5="BB",'Fleet Tech - Tech'!C$7,IF($F5="CVL",'Fleet Tech - Tech'!C$8,IF($F5="CV",'Fleet Tech - Tech'!C$9,IF($F5="SS",'Fleet Tech - Tech'!C$10,IF($F5="BBV",'Fleet Tech - Tech'!C$11,IF($F5="CB",'Fleet Tech - Tech'!C$15,IF($F5="AE",'Fleet Tech - Tech'!C$16,IF($F5="IX",'Fleet Tech - Tech'!C$17,IF($F5="BM",'Fleet Tech - Tech'!C$13,IF($F5="AR",'Fleet Tech - Tech'!C$12,IF($F5="SSV",'Fleet Tech - Tech'!C$14,"nil"))))))))))))))),0)</f>
        <v>0</v>
      </c>
      <c r="AW5" s="12">
        <f>IF($H5=3,IF(OR($F5="DDV",$F5="DDG",$F5="DD"),'Fleet Tech - Tech'!D$3,IF($F5="CL",'Fleet Tech - Tech'!D$4,IF($F5="CA",'Fleet Tech - Tech'!D$5,IF($F5="BC",'Fleet Tech - Tech'!D$6,IF($F5="BB",'Fleet Tech - Tech'!D$7,IF($F5="CVL",'Fleet Tech - Tech'!D$8,IF($F5="CV",'Fleet Tech - Tech'!D$9,IF($F5="SS",'Fleet Tech - Tech'!D$10,IF($F5="BBV",'Fleet Tech - Tech'!D$11,IF($F5="CB",'Fleet Tech - Tech'!D$15,IF($F5="AE",'Fleet Tech - Tech'!D$16,IF($F5="IX",'Fleet Tech - Tech'!D$17,IF($F5="BM",'Fleet Tech - Tech'!D$13,IF($F5="AR",'Fleet Tech - Tech'!D$12,IF($F5="SSV",'Fleet Tech - Tech'!D$14,"nil"))))))))))))))),0)</f>
        <v>0</v>
      </c>
      <c r="AX5" s="12">
        <f>IF($H5=3,IF(OR($F5="DDV",$F5="DDG",$F5="DD"),'Fleet Tech - Tech'!E$3,IF($F5="CL",'Fleet Tech - Tech'!E$4,IF($F5="CA",'Fleet Tech - Tech'!E$5,IF($F5="BC",'Fleet Tech - Tech'!E$6,IF($F5="BB",'Fleet Tech - Tech'!E$7,IF($F5="CVL",'Fleet Tech - Tech'!E$8,IF($F5="CV",'Fleet Tech - Tech'!E$9,IF($F5="SS",'Fleet Tech - Tech'!E$10,IF($F5="BBV",'Fleet Tech - Tech'!E$11,IF($F5="CB",'Fleet Tech - Tech'!E$15,IF($F5="AE",'Fleet Tech - Tech'!E$16,IF($F5="IX",'Fleet Tech - Tech'!E$17,IF($F5="BM",'Fleet Tech - Tech'!E$13,IF($F5="AR",'Fleet Tech - Tech'!E$12,IF($F5="SSV",'Fleet Tech - Tech'!E$14,"nil"))))))))))))))),0)</f>
        <v>0</v>
      </c>
      <c r="AY5" s="12">
        <f>IF($H5=3,IF(OR($F5="DDV",$F5="DDG",$F5="DD"),'Fleet Tech - Tech'!F$3,IF($F5="CL",'Fleet Tech - Tech'!F$4,IF($F5="CA",'Fleet Tech - Tech'!F$5,IF($F5="BC",'Fleet Tech - Tech'!F$6,IF($F5="BB",'Fleet Tech - Tech'!F$7,IF($F5="CVL",'Fleet Tech - Tech'!F$8,IF($F5="CV",'Fleet Tech - Tech'!F$9,IF($F5="SS",'Fleet Tech - Tech'!F$10,IF($F5="BBV",'Fleet Tech - Tech'!F$11,IF($F5="CB",'Fleet Tech - Tech'!F$15,IF($F5="AE",'Fleet Tech - Tech'!F$16,IF($F5="IX",'Fleet Tech - Tech'!F$17,IF($F5="BM",'Fleet Tech - Tech'!F$13,IF($F5="AR",'Fleet Tech - Tech'!F$12,IF($F5="SSV",'Fleet Tech - Tech'!F$14,"nil"))))))))))))))),0)</f>
        <v>0</v>
      </c>
      <c r="AZ5" s="12">
        <f>IF($H5=3,IF(OR($F5="DDV",$F5="DDG",$F5="DD"),'Fleet Tech - Tech'!G$3,IF($F5="CL",'Fleet Tech - Tech'!G$4,IF($F5="CA",'Fleet Tech - Tech'!G$5,IF($F5="BC",'Fleet Tech - Tech'!G$6,IF($F5="BB",'Fleet Tech - Tech'!G$7,IF($F5="CVL",'Fleet Tech - Tech'!G$8,IF($F5="CV",'Fleet Tech - Tech'!G$9,IF($F5="SS",'Fleet Tech - Tech'!G$10,IF($F5="BBV",'Fleet Tech - Tech'!G$11,IF($F5="CB",'Fleet Tech - Tech'!G$15,IF($F5="AE",'Fleet Tech - Tech'!G$16,IF($F5="IX",'Fleet Tech - Tech'!G$17,IF($F5="BM",'Fleet Tech - Tech'!G$13,IF($F5="AR",'Fleet Tech - Tech'!G$12,IF($F5="SSV",'Fleet Tech - Tech'!G$14,"nil"))))))))))))))),0)</f>
        <v>0</v>
      </c>
      <c r="BA5" s="12">
        <f>IF($H5=3,IF(OR($F5="DDV",$F5="DDG",$F5="DD"),'Fleet Tech - Tech'!H$3,IF($F5="CL",'Fleet Tech - Tech'!H$4,IF($F5="CA",'Fleet Tech - Tech'!H$5,IF($F5="BC",'Fleet Tech - Tech'!H$6,IF($F5="BB",'Fleet Tech - Tech'!H$7,IF($F5="CVL",'Fleet Tech - Tech'!H$8,IF($F5="CV",'Fleet Tech - Tech'!H$9,IF($F5="SS",'Fleet Tech - Tech'!H$10,IF($F5="BBV",'Fleet Tech - Tech'!H$11,IF($F5="CB",'Fleet Tech - Tech'!H$15,IF($F5="AE",'Fleet Tech - Tech'!H$16,IF($F5="IX",'Fleet Tech - Tech'!H$17,IF($F5="BM",'Fleet Tech - Tech'!H$13,IF($F5="AR",'Fleet Tech - Tech'!H$12,IF($F5="SSV",'Fleet Tech - Tech'!H$14,"nil"))))))))))))))),0)</f>
        <v>10</v>
      </c>
      <c r="BB5" s="12">
        <f>IF($H5=3,IF(OR($F5="DDV",$F5="DDG",$F5="DD"),'Fleet Tech - Tech'!I$3,IF($F5="CL",'Fleet Tech - Tech'!I$4,IF($F5="CA",'Fleet Tech - Tech'!I$5,IF($F5="BC",'Fleet Tech - Tech'!I$6,IF($F5="BB",'Fleet Tech - Tech'!I$7,IF($F5="CVL",'Fleet Tech - Tech'!I$8,IF($F5="CV",'Fleet Tech - Tech'!I$9,IF($F5="SS",'Fleet Tech - Tech'!I$10,IF($F5="BBV",'Fleet Tech - Tech'!I$11,IF($F5="CB",'Fleet Tech - Tech'!I$15,IF($F5="AE",'Fleet Tech - Tech'!I$16,IF($F5="IX",'Fleet Tech - Tech'!I$17,IF($F5="BM",'Fleet Tech - Tech'!I$13,IF($F5="AR",'Fleet Tech - Tech'!I$12,IF($F5="SSV",'Fleet Tech - Tech'!I$14,"nil"))))))))))))))),0)</f>
        <v>0</v>
      </c>
      <c r="BC5" s="12">
        <f>IF($H5=3,IF(OR($F5="DDV",$F5="DDG",$F5="DD"),'Fleet Tech - Tech'!J$3,IF($F5="CL",'Fleet Tech - Tech'!J$4,IF($F5="CA",'Fleet Tech - Tech'!J$5,IF($F5="BC",'Fleet Tech - Tech'!J$6,IF($F5="BB",'Fleet Tech - Tech'!J$7,IF($F5="CVL",'Fleet Tech - Tech'!J$8,IF($F5="CV",'Fleet Tech - Tech'!J$9,IF($F5="SS",'Fleet Tech - Tech'!J$10,IF($F5="BBV",'Fleet Tech - Tech'!J$11,IF($F5="CB",'Fleet Tech - Tech'!J$15,IF($F5="AE",'Fleet Tech - Tech'!J$16,IF($F5="IX",'Fleet Tech - Tech'!J$17,IF($F5="BM",'Fleet Tech - Tech'!J$13,IF($F5="AR",'Fleet Tech - Tech'!J$12,IF($F5="SSV",'Fleet Tech - Tech'!J$14,"nil"))))))))))))))),0)</f>
        <v>0</v>
      </c>
      <c r="BD5" s="12">
        <f>IF($H5=3,IF(OR($F5="DDV",$F5="DDG",$F5="DD"),'Fleet Tech - Tech'!K$3,IF($F5="CL",'Fleet Tech - Tech'!K$4,IF($F5="CA",'Fleet Tech - Tech'!K$5,IF($F5="BC",'Fleet Tech - Tech'!K$6,IF($F5="BB",'Fleet Tech - Tech'!K$7,IF($F5="CVL",'Fleet Tech - Tech'!K$8,IF($F5="CV",'Fleet Tech - Tech'!K$9,IF($F5="SS",'Fleet Tech - Tech'!K$10,IF($F5="BBV",'Fleet Tech - Tech'!K$11,IF($F5="CB",'Fleet Tech - Tech'!K$15,IF($F5="AE",'Fleet Tech - Tech'!K$16,IF($F5="IX",'Fleet Tech - Tech'!K$17,IF($F5="BM",'Fleet Tech - Tech'!K$13,IF($F5="AR",'Fleet Tech - Tech'!K$12,IF($F5="SSV",'Fleet Tech - Tech'!K$14,"nil"))))))))))))))),0)</f>
        <v>0</v>
      </c>
      <c r="BE5" s="12">
        <f>IF($H5=3,IF(OR($F5="DDV",$F5="DDG",$F5="DD"),'Fleet Tech - Tech'!L$3,IF($F5="CL",'Fleet Tech - Tech'!L$4,IF($F5="CA",'Fleet Tech - Tech'!L$5,IF($F5="BC",'Fleet Tech - Tech'!L$6,IF($F5="BB",'Fleet Tech - Tech'!L$7,IF($F5="CVL",'Fleet Tech - Tech'!L$8,IF($F5="CV",'Fleet Tech - Tech'!L$9,IF($F5="SS",'Fleet Tech - Tech'!L$10,IF($F5="BBV",'Fleet Tech - Tech'!L$11,IF($F5="CB",'Fleet Tech - Tech'!L$15,IF($F5="AE",'Fleet Tech - Tech'!L$16,IF($F5="IX",'Fleet Tech - Tech'!L$17,IF($F5="BM",'Fleet Tech - Tech'!L$13,IF($F5="AR",'Fleet Tech - Tech'!L$12,IF($F5="SSV",'Fleet Tech - Tech'!L$14,"nil"))))))))))))))),0)</f>
        <v>4</v>
      </c>
      <c r="BF5" s="12">
        <f>IF($H5=3,IF(OR($F5="DDV",$F5="DDG",$F5="DD"),'Fleet Tech - Tech'!M$3,IF($F5="CL",'Fleet Tech - Tech'!M$4,IF($F5="CA",'Fleet Tech - Tech'!M$5,IF($F5="BC",'Fleet Tech - Tech'!M$6,IF($F5="BB",'Fleet Tech - Tech'!M$7,IF($F5="CVL",'Fleet Tech - Tech'!M$8,IF($F5="CV",'Fleet Tech - Tech'!M$9,IF($F5="SS",'Fleet Tech - Tech'!M$10,IF($F5="BBV",'Fleet Tech - Tech'!M$11,IF($F5="CB",'Fleet Tech - Tech'!M$15,IF($F5="AE",'Fleet Tech - Tech'!M$16,IF($F5="IX",'Fleet Tech - Tech'!M$17,IF($F5="BM",'Fleet Tech - Tech'!M$13,IF($F5="AR",'Fleet Tech - Tech'!M$12,IF($F5="SSV",'Fleet Tech - Tech'!M$14,"nil"))))))))))))))),0)</f>
        <v>0</v>
      </c>
      <c r="BG5" s="12">
        <f>IF($H5=3,IF(OR($F5="DDV",$F5="DDG",$F5="DD"),'Fleet Tech - Tech'!N$3,IF($F5="CL",'Fleet Tech - Tech'!N$4,IF($F5="CA",'Fleet Tech - Tech'!N$5,IF($F5="BC",'Fleet Tech - Tech'!N$6,IF($F5="BB",'Fleet Tech - Tech'!N$7,IF($F5="CVL",'Fleet Tech - Tech'!N$8,IF($F5="CV",'Fleet Tech - Tech'!N$9,IF($F5="SS",'Fleet Tech - Tech'!N$10,IF($F5="BBV",'Fleet Tech - Tech'!N$11,IF($F5="CB",'Fleet Tech - Tech'!N$15,IF($F5="AE",'Fleet Tech - Tech'!N$16,IF($F5="IX",'Fleet Tech - Tech'!N$17,IF($F5="BM",'Fleet Tech - Tech'!N$13,IF($F5="AR",'Fleet Tech - Tech'!N$12,IF($F5="SSV",'Fleet Tech - Tech'!N$14,"nil"))))))))))))))),0)</f>
        <v>2</v>
      </c>
      <c r="BH5" s="28"/>
      <c r="BI5" s="12">
        <v>2213</v>
      </c>
      <c r="BJ5" s="12">
        <v>0</v>
      </c>
      <c r="BK5" s="12">
        <v>322</v>
      </c>
      <c r="BL5" s="12">
        <v>0</v>
      </c>
      <c r="BM5" s="12">
        <v>36</v>
      </c>
      <c r="BN5" s="12">
        <v>0</v>
      </c>
      <c r="BO5" s="12">
        <v>437</v>
      </c>
      <c r="BP5" s="12">
        <v>0</v>
      </c>
      <c r="BQ5" s="12">
        <v>34</v>
      </c>
      <c r="BR5" s="12">
        <v>14</v>
      </c>
      <c r="BS5" s="12">
        <v>140</v>
      </c>
      <c r="BT5" s="12">
        <v>52</v>
      </c>
      <c r="BU5" s="12">
        <v>107</v>
      </c>
      <c r="BV5" s="12">
        <v>335</v>
      </c>
      <c r="BW5" s="28"/>
      <c r="BX5" s="12">
        <v>4</v>
      </c>
      <c r="BY5" s="12">
        <v>11</v>
      </c>
      <c r="BZ5" s="12">
        <v>4</v>
      </c>
      <c r="CA5" s="12">
        <v>10</v>
      </c>
      <c r="CB5" s="12">
        <v>4</v>
      </c>
      <c r="CC5" s="12">
        <v>10</v>
      </c>
      <c r="CD5" s="12">
        <v>4</v>
      </c>
      <c r="CE5" s="12">
        <v>11</v>
      </c>
      <c r="CF5" s="12">
        <v>4</v>
      </c>
      <c r="CG5" s="12">
        <v>11</v>
      </c>
      <c r="CH5" s="12">
        <v>3</v>
      </c>
      <c r="CI5" s="12">
        <v>10</v>
      </c>
      <c r="CJ5" s="47"/>
      <c r="CK5" s="48">
        <f>IF(BX5=5,320,IF(BX5=4,195,IF(BX5=3,132,IF(BX5=2,90,IF(BX5=1,58,IF(BX5=-1,0,35))))))</f>
        <v>195</v>
      </c>
      <c r="CL5" s="48">
        <f>IF(BX5=5,20,IF(BX5=4,15,IF(BX5=3,12,IF(BX5=2,10,IF(BX5=1,8,IF(BX5=-1,0,5))))))</f>
        <v>15</v>
      </c>
      <c r="CM5" s="48">
        <f>IF(BZ5=5,320,IF(BZ5=4,195,IF(BZ5=3,132,IF(BZ5=2,90,IF(BZ5=1,58,IF(BZ5=-1,0,35))))))</f>
        <v>195</v>
      </c>
      <c r="CN5" s="48">
        <f>IF(BZ5=5,20,IF(BZ5=4,15,IF(BZ5=3,12,IF(BZ5=2,10,IF(BZ5=1,8,IF(BZ5=-1,0,5))))))</f>
        <v>15</v>
      </c>
      <c r="CO5" s="48">
        <f>IF(CB5=5,320,IF(CB5=4,195,IF(CB5=3,132,IF(CB5=2,90,IF(CB5=1,58,IF(CB5=-1,0,35))))))</f>
        <v>195</v>
      </c>
      <c r="CP5" s="48">
        <f>IF(CB5=5,20,IF(CB5=4,15,IF(CB5=3,12,IF(CB5=2,10,IF(CB5=1,8,IF(CB5=-1,0,5))))))</f>
        <v>15</v>
      </c>
      <c r="CQ5" s="48">
        <f>IF(CD5=5,320,IF(CD5=4,195,IF(CD5=3,132,IF(CD5=2,90,IF(CD5=1,58,IF(CD5=-1,0,35))))))</f>
        <v>195</v>
      </c>
      <c r="CR5" s="48">
        <f>IF(CD5=5,20,IF(CD5=4,15,IF(CD5=3,12,IF(CD5=2,10,IF(CD5=1,8,IF(CD5=-1,0,5))))))</f>
        <v>15</v>
      </c>
      <c r="CS5" s="48">
        <f>IF(CF5=5,320,IF(CF5=4,195,IF(CF5=3,132,IF(CF5=2,90,IF(CF5=1,58,IF(CF5=-1,0,35))))))</f>
        <v>195</v>
      </c>
      <c r="CT5" s="48">
        <f>IF(CF5=5,20,IF(CF5=4,15,IF(CF5=3,12,IF(CF5=2,10,IF(CF5=1,8,IF(CF5=-1,0,5))))))</f>
        <v>15</v>
      </c>
      <c r="CU5" s="48">
        <f>IF(CH5=5,320,IF(CH5=4,195,IF(CH5=3,132,IF(CH5=2,90,IF(CH5=1,58,IF(CH5=-1,0,35))))))</f>
        <v>132</v>
      </c>
      <c r="CV5" s="48">
        <f>IF(CH5=5,20,IF(CH5=4,15,IF(CH5=3,12,IF(CH5=2,10,IF(CH5=1,8,IF(CH5=-1,0,5))))))</f>
        <v>12</v>
      </c>
      <c r="CW5" s="48">
        <f>IF(BY5&gt;10,(BY5/10)-ROUNDDOWN(BY5/10,0),0)+IF(CA5&gt;10,(CA5/10)-ROUNDDOWN(CA5/10,0),0)+IF(CC5&gt;10,(CC5/10)-ROUNDDOWN(CC5/10,0),0)+IF(CE5&gt;10,(CE5/10)-ROUNDDOWN(CE5/10,0),0)+IF(CG5&gt;10,(CG5/10)-ROUNDDOWN(CG5/10,0),0)+IF(CI5&gt;10,(CI5/10)-ROUNDDOWN(CI5/10,0),0)</f>
        <v>0.3</v>
      </c>
      <c r="CX5" s="48">
        <f>1+(CW5/10)</f>
        <v>1.03</v>
      </c>
    </row>
    <row r="6" ht="20.05" customHeight="1">
      <c r="A6" t="s" s="43">
        <v>249</v>
      </c>
      <c r="B6" t="s" s="44">
        <v>250</v>
      </c>
      <c r="C6" t="s" s="45">
        <v>73</v>
      </c>
      <c r="D6" s="13">
        <v>1</v>
      </c>
      <c r="E6" t="s" s="15">
        <v>240</v>
      </c>
      <c r="F6" t="s" s="15">
        <v>241</v>
      </c>
      <c r="G6" t="s" s="15">
        <v>234</v>
      </c>
      <c r="H6" s="12">
        <v>3</v>
      </c>
      <c r="I6" t="s" s="15">
        <v>235</v>
      </c>
      <c r="J6" s="12">
        <v>125</v>
      </c>
      <c r="K6" t="s" s="14">
        <v>242</v>
      </c>
      <c r="L6" t="s" s="15">
        <v>237</v>
      </c>
      <c r="M6" t="s" s="15">
        <v>19</v>
      </c>
      <c r="N6" s="46">
        <f>ROUND((SUM(AA6,T6:Y6,AC6:AE6,Z6*10)-AB6*15)*(IF(K6="Heavy",0.15,IF(K6="Medium",0,IF(K6="Light",-0.15,10)))+1),0)</f>
        <v>1389</v>
      </c>
      <c r="O6" s="46">
        <v>5023</v>
      </c>
      <c r="P6" s="46">
        <f>ROUNDDOWN((BI6+AU6+AG6)/5,0)+(BJ6+AV6+AH6)+(BN6+AZ6+AL6)+(BO6+BA6+AM6)+(BK6+AW6+AI6)+(BS6+BE6+AQ6)+(BL6+AX6+AJ6)+(BQ6+BC6+AO6)+(2*((BT6+BF6+AR6)+(BU6+BG6+AS6)))+(CK6+CM6+CO6+CQ6+CS6+CU6)+(CL6*BY6)+(CN6*CA6)+(CP6+CC6)+(CR6+CE6)+(CT6+CG6)+(CV6+CI6)+BV6</f>
        <v>5123</v>
      </c>
      <c r="Q6" s="46">
        <f>ROUNDDOWN(((S6/5)+T6+X6+Y6+U6+AC6+V6+AA6+(2*(AD6+AE6))+CK6+CM6+CO6+CQ6+CS6+CU6+(CL6*BX6)+(CN6*BZ6)+(CP6*CB6)+(CR6*CD6)+(CT6*CF6)+(CV6*CH6))*CX6,0)</f>
        <v>4773</v>
      </c>
      <c r="R6" s="46">
        <f>ROUNDDOWN(AVERAGE(P6:Q6),0)</f>
        <v>4948</v>
      </c>
      <c r="S6" s="12">
        <f>AG6+AU6+BI6</f>
        <v>7972</v>
      </c>
      <c r="T6" s="12">
        <f>AH6+AV6+BJ6</f>
        <v>0</v>
      </c>
      <c r="U6" s="12">
        <f>AI6+AW6+BK6</f>
        <v>349</v>
      </c>
      <c r="V6" s="12">
        <f>AJ6+AX6+BL6</f>
        <v>0</v>
      </c>
      <c r="W6" s="12">
        <f>AK6+AY6+BM6</f>
        <v>73</v>
      </c>
      <c r="X6" s="12">
        <f>AL6+AZ6+BN6</f>
        <v>0</v>
      </c>
      <c r="Y6" s="12">
        <f>AM6+BA6+BO6</f>
        <v>818</v>
      </c>
      <c r="Z6" s="12">
        <f>AN6+BB6+BP6</f>
        <v>0</v>
      </c>
      <c r="AA6" s="12">
        <f>AO6+BC6+BQ6</f>
        <v>34</v>
      </c>
      <c r="AB6" s="12">
        <f>AP6+BD6+BR6</f>
        <v>13</v>
      </c>
      <c r="AC6" s="12">
        <f>AQ6+BE6+BS6</f>
        <v>132</v>
      </c>
      <c r="AD6" s="12">
        <f>AR6+BF6+BT6</f>
        <v>81</v>
      </c>
      <c r="AE6" s="12">
        <f>AS6+BG6+BU6</f>
        <v>97</v>
      </c>
      <c r="AF6" s="28"/>
      <c r="AG6" s="12">
        <v>150</v>
      </c>
      <c r="AH6" s="12">
        <v>0</v>
      </c>
      <c r="AI6" s="12">
        <v>0</v>
      </c>
      <c r="AJ6" s="12">
        <v>0</v>
      </c>
      <c r="AK6" s="12">
        <v>0</v>
      </c>
      <c r="AL6" s="12">
        <v>0</v>
      </c>
      <c r="AM6" s="12">
        <v>365</v>
      </c>
      <c r="AN6" s="12">
        <v>0</v>
      </c>
      <c r="AO6" s="12">
        <v>0</v>
      </c>
      <c r="AP6" s="12">
        <v>0</v>
      </c>
      <c r="AQ6" s="12">
        <v>0</v>
      </c>
      <c r="AR6" s="12">
        <v>19</v>
      </c>
      <c r="AS6" s="12">
        <v>0</v>
      </c>
      <c r="AT6" s="28"/>
      <c r="AU6" s="12">
        <f>IF($H6=3,IF(OR($F6="DDV",$F6="DDG",$F6="DD"),'Fleet Tech - Tech'!B$3,IF($F6="CL",'Fleet Tech - Tech'!B$4,IF($F6="CA",'Fleet Tech - Tech'!B$5,IF($F6="BC",'Fleet Tech - Tech'!B$6,IF($F6="BB",'Fleet Tech - Tech'!B$7,IF($F6="CVL",'Fleet Tech - Tech'!B$8,IF($F6="CV",'Fleet Tech - Tech'!B$9,IF($F6="SS",'Fleet Tech - Tech'!B$10,IF($F6="BBV",'Fleet Tech - Tech'!B$11,IF($F6="CB",'Fleet Tech - Tech'!B$15,IF($F6="AE",'Fleet Tech - Tech'!B$16,IF($F6="IX",'Fleet Tech - Tech'!B$17,IF($F6="BM",'Fleet Tech - Tech'!B$13,IF($F6="AR",'Fleet Tech - Tech'!B$12,IF($F6="SSV",'Fleet Tech - Tech'!B$14,"nil"))))))))))))))),0)</f>
        <v>45</v>
      </c>
      <c r="AV6" s="12">
        <f>IF($H6=3,IF(OR($F6="DDV",$F6="DDG",$F6="DD"),'Fleet Tech - Tech'!C$3,IF($F6="CL",'Fleet Tech - Tech'!C$4,IF($F6="CA",'Fleet Tech - Tech'!C$5,IF($F6="BC",'Fleet Tech - Tech'!C$6,IF($F6="BB",'Fleet Tech - Tech'!C$7,IF($F6="CVL",'Fleet Tech - Tech'!C$8,IF($F6="CV",'Fleet Tech - Tech'!C$9,IF($F6="SS",'Fleet Tech - Tech'!C$10,IF($F6="BBV",'Fleet Tech - Tech'!C$11,IF($F6="CB",'Fleet Tech - Tech'!C$15,IF($F6="AE",'Fleet Tech - Tech'!C$16,IF($F6="IX",'Fleet Tech - Tech'!C$17,IF($F6="BM",'Fleet Tech - Tech'!C$13,IF($F6="AR",'Fleet Tech - Tech'!C$12,IF($F6="SSV",'Fleet Tech - Tech'!C$14,"nil"))))))))))))))),0)</f>
        <v>0</v>
      </c>
      <c r="AW6" s="12">
        <f>IF($H6=3,IF(OR($F6="DDV",$F6="DDG",$F6="DD"),'Fleet Tech - Tech'!D$3,IF($F6="CL",'Fleet Tech - Tech'!D$4,IF($F6="CA",'Fleet Tech - Tech'!D$5,IF($F6="BC",'Fleet Tech - Tech'!D$6,IF($F6="BB",'Fleet Tech - Tech'!D$7,IF($F6="CVL",'Fleet Tech - Tech'!D$8,IF($F6="CV",'Fleet Tech - Tech'!D$9,IF($F6="SS",'Fleet Tech - Tech'!D$10,IF($F6="BBV",'Fleet Tech - Tech'!D$11,IF($F6="CB",'Fleet Tech - Tech'!D$15,IF($F6="AE",'Fleet Tech - Tech'!D$16,IF($F6="IX",'Fleet Tech - Tech'!D$17,IF($F6="BM",'Fleet Tech - Tech'!D$13,IF($F6="AR",'Fleet Tech - Tech'!D$12,IF($F6="SSV",'Fleet Tech - Tech'!D$14,"nil"))))))))))))))),0)</f>
        <v>0</v>
      </c>
      <c r="AX6" s="12">
        <f>IF($H6=3,IF(OR($F6="DDV",$F6="DDG",$F6="DD"),'Fleet Tech - Tech'!E$3,IF($F6="CL",'Fleet Tech - Tech'!E$4,IF($F6="CA",'Fleet Tech - Tech'!E$5,IF($F6="BC",'Fleet Tech - Tech'!E$6,IF($F6="BB",'Fleet Tech - Tech'!E$7,IF($F6="CVL",'Fleet Tech - Tech'!E$8,IF($F6="CV",'Fleet Tech - Tech'!E$9,IF($F6="SS",'Fleet Tech - Tech'!E$10,IF($F6="BBV",'Fleet Tech - Tech'!E$11,IF($F6="CB",'Fleet Tech - Tech'!E$15,IF($F6="AE",'Fleet Tech - Tech'!E$16,IF($F6="IX",'Fleet Tech - Tech'!E$17,IF($F6="BM",'Fleet Tech - Tech'!E$13,IF($F6="AR",'Fleet Tech - Tech'!E$12,IF($F6="SSV",'Fleet Tech - Tech'!E$14,"nil"))))))))))))))),0)</f>
        <v>0</v>
      </c>
      <c r="AY6" s="12">
        <f>IF($H6=3,IF(OR($F6="DDV",$F6="DDG",$F6="DD"),'Fleet Tech - Tech'!F$3,IF($F6="CL",'Fleet Tech - Tech'!F$4,IF($F6="CA",'Fleet Tech - Tech'!F$5,IF($F6="BC",'Fleet Tech - Tech'!F$6,IF($F6="BB",'Fleet Tech - Tech'!F$7,IF($F6="CVL",'Fleet Tech - Tech'!F$8,IF($F6="CV",'Fleet Tech - Tech'!F$9,IF($F6="SS",'Fleet Tech - Tech'!F$10,IF($F6="BBV",'Fleet Tech - Tech'!F$11,IF($F6="CB",'Fleet Tech - Tech'!F$15,IF($F6="AE",'Fleet Tech - Tech'!F$16,IF($F6="IX",'Fleet Tech - Tech'!F$17,IF($F6="BM",'Fleet Tech - Tech'!F$13,IF($F6="AR",'Fleet Tech - Tech'!F$12,IF($F6="SSV",'Fleet Tech - Tech'!F$14,"nil"))))))))))))))),0)</f>
        <v>0</v>
      </c>
      <c r="AZ6" s="12">
        <f>IF($H6=3,IF(OR($F6="DDV",$F6="DDG",$F6="DD"),'Fleet Tech - Tech'!G$3,IF($F6="CL",'Fleet Tech - Tech'!G$4,IF($F6="CA",'Fleet Tech - Tech'!G$5,IF($F6="BC",'Fleet Tech - Tech'!G$6,IF($F6="BB",'Fleet Tech - Tech'!G$7,IF($F6="CVL",'Fleet Tech - Tech'!G$8,IF($F6="CV",'Fleet Tech - Tech'!G$9,IF($F6="SS",'Fleet Tech - Tech'!G$10,IF($F6="BBV",'Fleet Tech - Tech'!G$11,IF($F6="CB",'Fleet Tech - Tech'!G$15,IF($F6="AE",'Fleet Tech - Tech'!G$16,IF($F6="IX",'Fleet Tech - Tech'!G$17,IF($F6="BM",'Fleet Tech - Tech'!G$13,IF($F6="AR",'Fleet Tech - Tech'!G$12,IF($F6="SSV",'Fleet Tech - Tech'!G$14,"nil"))))))))))))))),0)</f>
        <v>0</v>
      </c>
      <c r="BA6" s="12">
        <f>IF($H6=3,IF(OR($F6="DDV",$F6="DDG",$F6="DD"),'Fleet Tech - Tech'!H$3,IF($F6="CL",'Fleet Tech - Tech'!H$4,IF($F6="CA",'Fleet Tech - Tech'!H$5,IF($F6="BC",'Fleet Tech - Tech'!H$6,IF($F6="BB",'Fleet Tech - Tech'!H$7,IF($F6="CVL",'Fleet Tech - Tech'!H$8,IF($F6="CV",'Fleet Tech - Tech'!H$9,IF($F6="SS",'Fleet Tech - Tech'!H$10,IF($F6="BBV",'Fleet Tech - Tech'!H$11,IF($F6="CB",'Fleet Tech - Tech'!H$15,IF($F6="AE",'Fleet Tech - Tech'!H$16,IF($F6="IX",'Fleet Tech - Tech'!H$17,IF($F6="BM",'Fleet Tech - Tech'!H$13,IF($F6="AR",'Fleet Tech - Tech'!H$12,IF($F6="SSV",'Fleet Tech - Tech'!H$14,"nil"))))))))))))))),0)</f>
        <v>10</v>
      </c>
      <c r="BB6" s="12">
        <f>IF($H6=3,IF(OR($F6="DDV",$F6="DDG",$F6="DD"),'Fleet Tech - Tech'!I$3,IF($F6="CL",'Fleet Tech - Tech'!I$4,IF($F6="CA",'Fleet Tech - Tech'!I$5,IF($F6="BC",'Fleet Tech - Tech'!I$6,IF($F6="BB",'Fleet Tech - Tech'!I$7,IF($F6="CVL",'Fleet Tech - Tech'!I$8,IF($F6="CV",'Fleet Tech - Tech'!I$9,IF($F6="SS",'Fleet Tech - Tech'!I$10,IF($F6="BBV",'Fleet Tech - Tech'!I$11,IF($F6="CB",'Fleet Tech - Tech'!I$15,IF($F6="AE",'Fleet Tech - Tech'!I$16,IF($F6="IX",'Fleet Tech - Tech'!I$17,IF($F6="BM",'Fleet Tech - Tech'!I$13,IF($F6="AR",'Fleet Tech - Tech'!I$12,IF($F6="SSV",'Fleet Tech - Tech'!I$14,"nil"))))))))))))))),0)</f>
        <v>0</v>
      </c>
      <c r="BC6" s="12">
        <f>IF($H6=3,IF(OR($F6="DDV",$F6="DDG",$F6="DD"),'Fleet Tech - Tech'!J$3,IF($F6="CL",'Fleet Tech - Tech'!J$4,IF($F6="CA",'Fleet Tech - Tech'!J$5,IF($F6="BC",'Fleet Tech - Tech'!J$6,IF($F6="BB",'Fleet Tech - Tech'!J$7,IF($F6="CVL",'Fleet Tech - Tech'!J$8,IF($F6="CV",'Fleet Tech - Tech'!J$9,IF($F6="SS",'Fleet Tech - Tech'!J$10,IF($F6="BBV",'Fleet Tech - Tech'!J$11,IF($F6="CB",'Fleet Tech - Tech'!J$15,IF($F6="AE",'Fleet Tech - Tech'!J$16,IF($F6="IX",'Fleet Tech - Tech'!J$17,IF($F6="BM",'Fleet Tech - Tech'!J$13,IF($F6="AR",'Fleet Tech - Tech'!J$12,IF($F6="SSV",'Fleet Tech - Tech'!J$14,"nil"))))))))))))))),0)</f>
        <v>0</v>
      </c>
      <c r="BD6" s="12">
        <f>IF($H6=3,IF(OR($F6="DDV",$F6="DDG",$F6="DD"),'Fleet Tech - Tech'!K$3,IF($F6="CL",'Fleet Tech - Tech'!K$4,IF($F6="CA",'Fleet Tech - Tech'!K$5,IF($F6="BC",'Fleet Tech - Tech'!K$6,IF($F6="BB",'Fleet Tech - Tech'!K$7,IF($F6="CVL",'Fleet Tech - Tech'!K$8,IF($F6="CV",'Fleet Tech - Tech'!K$9,IF($F6="SS",'Fleet Tech - Tech'!K$10,IF($F6="BBV",'Fleet Tech - Tech'!K$11,IF($F6="CB",'Fleet Tech - Tech'!K$15,IF($F6="AE",'Fleet Tech - Tech'!K$16,IF($F6="IX",'Fleet Tech - Tech'!K$17,IF($F6="BM",'Fleet Tech - Tech'!K$13,IF($F6="AR",'Fleet Tech - Tech'!K$12,IF($F6="SSV",'Fleet Tech - Tech'!K$14,"nil"))))))))))))))),0)</f>
        <v>0</v>
      </c>
      <c r="BE6" s="12">
        <f>IF($H6=3,IF(OR($F6="DDV",$F6="DDG",$F6="DD"),'Fleet Tech - Tech'!L$3,IF($F6="CL",'Fleet Tech - Tech'!L$4,IF($F6="CA",'Fleet Tech - Tech'!L$5,IF($F6="BC",'Fleet Tech - Tech'!L$6,IF($F6="BB",'Fleet Tech - Tech'!L$7,IF($F6="CVL",'Fleet Tech - Tech'!L$8,IF($F6="CV",'Fleet Tech - Tech'!L$9,IF($F6="SS",'Fleet Tech - Tech'!L$10,IF($F6="BBV",'Fleet Tech - Tech'!L$11,IF($F6="CB",'Fleet Tech - Tech'!L$15,IF($F6="AE",'Fleet Tech - Tech'!L$16,IF($F6="IX",'Fleet Tech - Tech'!L$17,IF($F6="BM",'Fleet Tech - Tech'!L$13,IF($F6="AR",'Fleet Tech - Tech'!L$12,IF($F6="SSV",'Fleet Tech - Tech'!L$14,"nil"))))))))))))))),0)</f>
        <v>4</v>
      </c>
      <c r="BF6" s="12">
        <f>IF($H6=3,IF(OR($F6="DDV",$F6="DDG",$F6="DD"),'Fleet Tech - Tech'!M$3,IF($F6="CL",'Fleet Tech - Tech'!M$4,IF($F6="CA",'Fleet Tech - Tech'!M$5,IF($F6="BC",'Fleet Tech - Tech'!M$6,IF($F6="BB",'Fleet Tech - Tech'!M$7,IF($F6="CVL",'Fleet Tech - Tech'!M$8,IF($F6="CV",'Fleet Tech - Tech'!M$9,IF($F6="SS",'Fleet Tech - Tech'!M$10,IF($F6="BBV",'Fleet Tech - Tech'!M$11,IF($F6="CB",'Fleet Tech - Tech'!M$15,IF($F6="AE",'Fleet Tech - Tech'!M$16,IF($F6="IX",'Fleet Tech - Tech'!M$17,IF($F6="BM",'Fleet Tech - Tech'!M$13,IF($F6="AR",'Fleet Tech - Tech'!M$12,IF($F6="SSV",'Fleet Tech - Tech'!M$14,"nil"))))))))))))))),0)</f>
        <v>0</v>
      </c>
      <c r="BG6" s="12">
        <f>IF($H6=3,IF(OR($F6="DDV",$F6="DDG",$F6="DD"),'Fleet Tech - Tech'!N$3,IF($F6="CL",'Fleet Tech - Tech'!N$4,IF($F6="CA",'Fleet Tech - Tech'!N$5,IF($F6="BC",'Fleet Tech - Tech'!N$6,IF($F6="BB",'Fleet Tech - Tech'!N$7,IF($F6="CVL",'Fleet Tech - Tech'!N$8,IF($F6="CV",'Fleet Tech - Tech'!N$9,IF($F6="SS",'Fleet Tech - Tech'!N$10,IF($F6="BBV",'Fleet Tech - Tech'!N$11,IF($F6="CB",'Fleet Tech - Tech'!N$15,IF($F6="AE",'Fleet Tech - Tech'!N$16,IF($F6="IX",'Fleet Tech - Tech'!N$17,IF($F6="BM",'Fleet Tech - Tech'!N$13,IF($F6="AR",'Fleet Tech - Tech'!N$12,IF($F6="SSV",'Fleet Tech - Tech'!N$14,"nil"))))))))))))))),0)</f>
        <v>2</v>
      </c>
      <c r="BH6" s="28"/>
      <c r="BI6" s="12">
        <v>7777</v>
      </c>
      <c r="BJ6" s="12">
        <v>0</v>
      </c>
      <c r="BK6" s="12">
        <v>349</v>
      </c>
      <c r="BL6" s="12">
        <v>0</v>
      </c>
      <c r="BM6" s="12">
        <v>73</v>
      </c>
      <c r="BN6" s="12">
        <v>0</v>
      </c>
      <c r="BO6" s="12">
        <v>443</v>
      </c>
      <c r="BP6" s="12">
        <v>0</v>
      </c>
      <c r="BQ6" s="12">
        <v>34</v>
      </c>
      <c r="BR6" s="12">
        <v>13</v>
      </c>
      <c r="BS6" s="12">
        <v>128</v>
      </c>
      <c r="BT6" s="12">
        <v>62</v>
      </c>
      <c r="BU6" s="12">
        <v>95</v>
      </c>
      <c r="BV6" s="12">
        <v>335</v>
      </c>
      <c r="BW6" s="28"/>
      <c r="BX6" s="12">
        <v>4</v>
      </c>
      <c r="BY6" s="12">
        <v>10</v>
      </c>
      <c r="BZ6" s="12">
        <v>4</v>
      </c>
      <c r="CA6" s="12">
        <v>10</v>
      </c>
      <c r="CB6" s="12">
        <v>4</v>
      </c>
      <c r="CC6" s="12">
        <v>11</v>
      </c>
      <c r="CD6" s="12">
        <v>4</v>
      </c>
      <c r="CE6" s="12">
        <v>10</v>
      </c>
      <c r="CF6" s="12">
        <v>4</v>
      </c>
      <c r="CG6" s="12">
        <v>10</v>
      </c>
      <c r="CH6" s="12">
        <v>3</v>
      </c>
      <c r="CI6" s="12">
        <v>10</v>
      </c>
      <c r="CJ6" s="47"/>
      <c r="CK6" s="48">
        <f>IF(BX6=5,320,IF(BX6=4,195,IF(BX6=3,132,IF(BX6=2,90,IF(BX6=1,58,IF(BX6=-1,0,35))))))</f>
        <v>195</v>
      </c>
      <c r="CL6" s="48">
        <f>IF(BX6=5,20,IF(BX6=4,15,IF(BX6=3,12,IF(BX6=2,10,IF(BX6=1,8,IF(BX6=-1,0,5))))))</f>
        <v>15</v>
      </c>
      <c r="CM6" s="48">
        <f>IF(BZ6=5,320,IF(BZ6=4,195,IF(BZ6=3,132,IF(BZ6=2,90,IF(BZ6=1,58,IF(BZ6=-1,0,35))))))</f>
        <v>195</v>
      </c>
      <c r="CN6" s="48">
        <f>IF(BZ6=5,20,IF(BZ6=4,15,IF(BZ6=3,12,IF(BZ6=2,10,IF(BZ6=1,8,IF(BZ6=-1,0,5))))))</f>
        <v>15</v>
      </c>
      <c r="CO6" s="48">
        <f>IF(CB6=5,320,IF(CB6=4,195,IF(CB6=3,132,IF(CB6=2,90,IF(CB6=1,58,IF(CB6=-1,0,35))))))</f>
        <v>195</v>
      </c>
      <c r="CP6" s="48">
        <f>IF(CB6=5,20,IF(CB6=4,15,IF(CB6=3,12,IF(CB6=2,10,IF(CB6=1,8,IF(CB6=-1,0,5))))))</f>
        <v>15</v>
      </c>
      <c r="CQ6" s="48">
        <f>IF(CD6=5,320,IF(CD6=4,195,IF(CD6=3,132,IF(CD6=2,90,IF(CD6=1,58,IF(CD6=-1,0,35))))))</f>
        <v>195</v>
      </c>
      <c r="CR6" s="48">
        <f>IF(CD6=5,20,IF(CD6=4,15,IF(CD6=3,12,IF(CD6=2,10,IF(CD6=1,8,IF(CD6=-1,0,5))))))</f>
        <v>15</v>
      </c>
      <c r="CS6" s="48">
        <f>IF(CF6=5,320,IF(CF6=4,195,IF(CF6=3,132,IF(CF6=2,90,IF(CF6=1,58,IF(CF6=-1,0,35))))))</f>
        <v>195</v>
      </c>
      <c r="CT6" s="48">
        <f>IF(CF6=5,20,IF(CF6=4,15,IF(CF6=3,12,IF(CF6=2,10,IF(CF6=1,8,IF(CF6=-1,0,5))))))</f>
        <v>15</v>
      </c>
      <c r="CU6" s="48">
        <f>IF(CH6=5,320,IF(CH6=4,195,IF(CH6=3,132,IF(CH6=2,90,IF(CH6=1,58,IF(CH6=-1,0,35))))))</f>
        <v>132</v>
      </c>
      <c r="CV6" s="48">
        <f>IF(CH6=5,20,IF(CH6=4,15,IF(CH6=3,12,IF(CH6=2,10,IF(CH6=1,8,IF(CH6=-1,0,5))))))</f>
        <v>12</v>
      </c>
      <c r="CW6" s="48">
        <f>IF(BY6&gt;10,(BY6/10)-ROUNDDOWN(BY6/10,0),0)+IF(CA6&gt;10,(CA6/10)-ROUNDDOWN(CA6/10,0),0)+IF(CC6&gt;10,(CC6/10)-ROUNDDOWN(CC6/10,0),0)+IF(CE6&gt;10,(CE6/10)-ROUNDDOWN(CE6/10,0),0)+IF(CG6&gt;10,(CG6/10)-ROUNDDOWN(CG6/10,0),0)+IF(CI6&gt;10,(CI6/10)-ROUNDDOWN(CI6/10,0),0)</f>
        <v>0.1</v>
      </c>
      <c r="CX6" s="48">
        <f>1+(CW6/10)</f>
        <v>1.01</v>
      </c>
    </row>
    <row r="7" ht="20.05" customHeight="1">
      <c r="A7" t="s" s="43">
        <v>251</v>
      </c>
      <c r="B7" s="49"/>
      <c r="C7" t="s" s="45">
        <v>73</v>
      </c>
      <c r="D7" s="13">
        <v>1</v>
      </c>
      <c r="E7" t="s" s="15">
        <v>232</v>
      </c>
      <c r="F7" t="s" s="15">
        <v>252</v>
      </c>
      <c r="G7" t="s" s="15">
        <v>253</v>
      </c>
      <c r="H7" s="12">
        <v>3</v>
      </c>
      <c r="I7" t="s" s="15">
        <v>235</v>
      </c>
      <c r="J7" s="12">
        <v>124</v>
      </c>
      <c r="K7" t="s" s="14">
        <v>236</v>
      </c>
      <c r="L7" t="s" s="15">
        <v>254</v>
      </c>
      <c r="M7" t="s" s="15">
        <v>255</v>
      </c>
      <c r="N7" s="46">
        <f>ROUND((SUM(AA7,T7:Y7,AC7:AE7,Z7*10)-AB7*15)*(IF(K7="Heavy",0.15,IF(K7="Medium",0,IF(K7="Light",-0.15,10)))+1),0)</f>
        <v>1910</v>
      </c>
      <c r="O7" s="46">
        <v>5555</v>
      </c>
      <c r="P7" s="46">
        <f>ROUNDDOWN((BI7+AU7+AG7)/5,0)+(BJ7+AV7+AH7)+(BN7+AZ7+AL7)+(BO7+BA7+AM7)+(BK7+AW7+AI7)+(BS7+BE7+AQ7)+(BL7+AX7+AJ7)+(BQ7+BC7+AO7)+(2*((BT7+BF7+AR7)+(BU7+BG7+AS7)))+(CK7+CM7+CO7+CQ7+CS7+CU7)+(CL7*BY7)+(CN7*CA7)+(CP7+CC7)+(CR7+CE7)+(CT7+CG7)+(CV7+CI7)+BV7</f>
        <v>5571</v>
      </c>
      <c r="Q7" s="46">
        <f>ROUNDDOWN(((S7/5)+T7+X7+Y7+U7+AC7+V7+AA7+(2*(AD7+AE7))+CK7+CM7+CO7+CQ7+CS7+CU7+(CL7*BX7)+(CN7*BZ7)+(CP7*CB7)+(CR7*CD7)+(CT7*CF7)+(CV7*CH7))*CX7,0)</f>
        <v>5302</v>
      </c>
      <c r="R7" s="46">
        <f>ROUNDDOWN(AVERAGE(P7:Q7),0)</f>
        <v>5436</v>
      </c>
      <c r="S7" s="12">
        <f>AG7+AU7+BI7</f>
        <v>1994</v>
      </c>
      <c r="T7" s="12">
        <f>AH7+AV7+BJ7</f>
        <v>123</v>
      </c>
      <c r="U7" s="12">
        <f>AI7+AW7+BK7</f>
        <v>194</v>
      </c>
      <c r="V7" s="12">
        <f>AJ7+AX7+BL7</f>
        <v>204</v>
      </c>
      <c r="W7" s="12">
        <f>AK7+AY7+BM7</f>
        <v>69</v>
      </c>
      <c r="X7" s="12">
        <f>AL7+AZ7+BN7</f>
        <v>788</v>
      </c>
      <c r="Y7" s="12">
        <f>AM7+BA7+BO7</f>
        <v>268</v>
      </c>
      <c r="Z7" s="12">
        <f>AN7+BB7+BP7</f>
        <v>0</v>
      </c>
      <c r="AA7" s="12">
        <f>AO7+BC7+BQ7</f>
        <v>40</v>
      </c>
      <c r="AB7" s="12">
        <f>AP7+BD7+BR7</f>
        <v>10</v>
      </c>
      <c r="AC7" s="12">
        <f>AQ7+BE7+BS7</f>
        <v>238</v>
      </c>
      <c r="AD7" s="12">
        <f>AR7+BF7+BT7</f>
        <v>250</v>
      </c>
      <c r="AE7" s="12">
        <f>AS7+BG7+BU7</f>
        <v>223</v>
      </c>
      <c r="AF7" s="28"/>
      <c r="AG7" s="12">
        <v>0</v>
      </c>
      <c r="AH7" s="12">
        <v>35</v>
      </c>
      <c r="AI7" s="12">
        <v>10</v>
      </c>
      <c r="AJ7" s="12">
        <v>0</v>
      </c>
      <c r="AK7" s="12">
        <v>0</v>
      </c>
      <c r="AL7" s="12">
        <v>299</v>
      </c>
      <c r="AM7" s="12">
        <v>65</v>
      </c>
      <c r="AN7" s="12">
        <v>0</v>
      </c>
      <c r="AO7" s="12">
        <v>0</v>
      </c>
      <c r="AP7" s="12">
        <v>0</v>
      </c>
      <c r="AQ7" s="12">
        <v>19</v>
      </c>
      <c r="AR7" s="12">
        <v>0</v>
      </c>
      <c r="AS7" s="12">
        <v>8</v>
      </c>
      <c r="AT7" s="28"/>
      <c r="AU7" s="12">
        <f>IF($H7=3,IF(OR($F7="DDV",$F7="DDG",$F7="DD"),'Fleet Tech - Tech'!B$3,IF($F7="CL",'Fleet Tech - Tech'!B$4,IF($F7="CA",'Fleet Tech - Tech'!B$5,IF($F7="BC",'Fleet Tech - Tech'!B$6,IF($F7="BB",'Fleet Tech - Tech'!B$7,IF($F7="CVL",'Fleet Tech - Tech'!B$8,IF($F7="CV",'Fleet Tech - Tech'!B$9,IF($F7="SS",'Fleet Tech - Tech'!B$10,IF($F7="BBV",'Fleet Tech - Tech'!B$11,IF($F7="CB",'Fleet Tech - Tech'!B$15,IF($F7="AE",'Fleet Tech - Tech'!B$16,IF($F7="IX",'Fleet Tech - Tech'!B$17,IF($F7="BM",'Fleet Tech - Tech'!B$13,IF($F7="AR",'Fleet Tech - Tech'!B$12,IF($F7="SSV",'Fleet Tech - Tech'!B$14,"nil"))))))))))))))),0)</f>
        <v>128</v>
      </c>
      <c r="AV7" s="12">
        <f>IF($H7=3,IF(OR($F7="DDV",$F7="DDG",$F7="DD"),'Fleet Tech - Tech'!C$3,IF($F7="CL",'Fleet Tech - Tech'!C$4,IF($F7="CA",'Fleet Tech - Tech'!C$5,IF($F7="BC",'Fleet Tech - Tech'!C$6,IF($F7="BB",'Fleet Tech - Tech'!C$7,IF($F7="CVL",'Fleet Tech - Tech'!C$8,IF($F7="CV",'Fleet Tech - Tech'!C$9,IF($F7="SS",'Fleet Tech - Tech'!C$10,IF($F7="BBV",'Fleet Tech - Tech'!C$11,IF($F7="CB",'Fleet Tech - Tech'!C$15,IF($F7="AE",'Fleet Tech - Tech'!C$16,IF($F7="IX",'Fleet Tech - Tech'!C$17,IF($F7="BM",'Fleet Tech - Tech'!C$13,IF($F7="AR",'Fleet Tech - Tech'!C$12,IF($F7="SSV",'Fleet Tech - Tech'!C$14,"nil"))))))))))))))),0)</f>
        <v>11</v>
      </c>
      <c r="AW7" s="12">
        <f>IF($H7=3,IF(OR($F7="DDV",$F7="DDG",$F7="DD"),'Fleet Tech - Tech'!D$3,IF($F7="CL",'Fleet Tech - Tech'!D$4,IF($F7="CA",'Fleet Tech - Tech'!D$5,IF($F7="BC",'Fleet Tech - Tech'!D$6,IF($F7="BB",'Fleet Tech - Tech'!D$7,IF($F7="CVL",'Fleet Tech - Tech'!D$8,IF($F7="CV",'Fleet Tech - Tech'!D$9,IF($F7="SS",'Fleet Tech - Tech'!D$10,IF($F7="BBV",'Fleet Tech - Tech'!D$11,IF($F7="CB",'Fleet Tech - Tech'!D$15,IF($F7="AE",'Fleet Tech - Tech'!D$16,IF($F7="IX",'Fleet Tech - Tech'!D$17,IF($F7="BM",'Fleet Tech - Tech'!D$13,IF($F7="AR",'Fleet Tech - Tech'!D$12,IF($F7="SSV",'Fleet Tech - Tech'!D$14,"nil"))))))))))))))),0)</f>
        <v>3</v>
      </c>
      <c r="AX7" s="12">
        <f>IF($H7=3,IF(OR($F7="DDV",$F7="DDG",$F7="DD"),'Fleet Tech - Tech'!E$3,IF($F7="CL",'Fleet Tech - Tech'!E$4,IF($F7="CA",'Fleet Tech - Tech'!E$5,IF($F7="BC",'Fleet Tech - Tech'!E$6,IF($F7="BB",'Fleet Tech - Tech'!E$7,IF($F7="CVL",'Fleet Tech - Tech'!E$8,IF($F7="CV",'Fleet Tech - Tech'!E$9,IF($F7="SS",'Fleet Tech - Tech'!E$10,IF($F7="BBV",'Fleet Tech - Tech'!E$11,IF($F7="CB",'Fleet Tech - Tech'!E$15,IF($F7="AE",'Fleet Tech - Tech'!E$16,IF($F7="IX",'Fleet Tech - Tech'!E$17,IF($F7="BM",'Fleet Tech - Tech'!E$13,IF($F7="AR",'Fleet Tech - Tech'!E$12,IF($F7="SSV",'Fleet Tech - Tech'!E$14,"nil"))))))))))))))),0)</f>
        <v>2</v>
      </c>
      <c r="AY7" s="12">
        <f>IF($H7=3,IF(OR($F7="DDV",$F7="DDG",$F7="DD"),'Fleet Tech - Tech'!F$3,IF($F7="CL",'Fleet Tech - Tech'!F$4,IF($F7="CA",'Fleet Tech - Tech'!F$5,IF($F7="BC",'Fleet Tech - Tech'!F$6,IF($F7="BB",'Fleet Tech - Tech'!F$7,IF($F7="CVL",'Fleet Tech - Tech'!F$8,IF($F7="CV",'Fleet Tech - Tech'!F$9,IF($F7="SS",'Fleet Tech - Tech'!F$10,IF($F7="BBV",'Fleet Tech - Tech'!F$11,IF($F7="CB",'Fleet Tech - Tech'!F$15,IF($F7="AE",'Fleet Tech - Tech'!F$16,IF($F7="IX",'Fleet Tech - Tech'!F$17,IF($F7="BM",'Fleet Tech - Tech'!F$13,IF($F7="AR",'Fleet Tech - Tech'!F$12,IF($F7="SSV",'Fleet Tech - Tech'!F$14,"nil"))))))))))))))),0)</f>
        <v>0</v>
      </c>
      <c r="AZ7" s="12">
        <f>IF($H7=3,IF(OR($F7="DDV",$F7="DDG",$F7="DD"),'Fleet Tech - Tech'!G$3,IF($F7="CL",'Fleet Tech - Tech'!G$4,IF($F7="CA",'Fleet Tech - Tech'!G$5,IF($F7="BC",'Fleet Tech - Tech'!G$6,IF($F7="BB",'Fleet Tech - Tech'!G$7,IF($F7="CVL",'Fleet Tech - Tech'!G$8,IF($F7="CV",'Fleet Tech - Tech'!G$9,IF($F7="SS",'Fleet Tech - Tech'!G$10,IF($F7="BBV",'Fleet Tech - Tech'!G$11,IF($F7="CB",'Fleet Tech - Tech'!G$15,IF($F7="AE",'Fleet Tech - Tech'!G$16,IF($F7="IX",'Fleet Tech - Tech'!G$17,IF($F7="BM",'Fleet Tech - Tech'!G$13,IF($F7="AR",'Fleet Tech - Tech'!G$12,IF($F7="SSV",'Fleet Tech - Tech'!G$14,"nil"))))))))))))))),0)</f>
        <v>1</v>
      </c>
      <c r="BA7" s="12">
        <f>IF($H7=3,IF(OR($F7="DDV",$F7="DDG",$F7="DD"),'Fleet Tech - Tech'!H$3,IF($F7="CL",'Fleet Tech - Tech'!H$4,IF($F7="CA",'Fleet Tech - Tech'!H$5,IF($F7="BC",'Fleet Tech - Tech'!H$6,IF($F7="BB",'Fleet Tech - Tech'!H$7,IF($F7="CVL",'Fleet Tech - Tech'!H$8,IF($F7="CV",'Fleet Tech - Tech'!H$9,IF($F7="SS",'Fleet Tech - Tech'!H$10,IF($F7="BBV",'Fleet Tech - Tech'!H$11,IF($F7="CB",'Fleet Tech - Tech'!H$15,IF($F7="AE",'Fleet Tech - Tech'!H$16,IF($F7="IX",'Fleet Tech - Tech'!H$17,IF($F7="BM",'Fleet Tech - Tech'!H$13,IF($F7="AR",'Fleet Tech - Tech'!H$12,IF($F7="SSV",'Fleet Tech - Tech'!H$14,"nil"))))))))))))))),0)</f>
        <v>0</v>
      </c>
      <c r="BB7" s="12">
        <f>IF($H7=3,IF(OR($F7="DDV",$F7="DDG",$F7="DD"),'Fleet Tech - Tech'!I$3,IF($F7="CL",'Fleet Tech - Tech'!I$4,IF($F7="CA",'Fleet Tech - Tech'!I$5,IF($F7="BC",'Fleet Tech - Tech'!I$6,IF($F7="BB",'Fleet Tech - Tech'!I$7,IF($F7="CVL",'Fleet Tech - Tech'!I$8,IF($F7="CV",'Fleet Tech - Tech'!I$9,IF($F7="SS",'Fleet Tech - Tech'!I$10,IF($F7="BBV",'Fleet Tech - Tech'!I$11,IF($F7="CB",'Fleet Tech - Tech'!I$15,IF($F7="AE",'Fleet Tech - Tech'!I$16,IF($F7="IX",'Fleet Tech - Tech'!I$17,IF($F7="BM",'Fleet Tech - Tech'!I$13,IF($F7="AR",'Fleet Tech - Tech'!I$12,IF($F7="SSV",'Fleet Tech - Tech'!I$14,"nil"))))))))))))))),0)</f>
        <v>0</v>
      </c>
      <c r="BC7" s="12">
        <f>IF($H7=3,IF(OR($F7="DDV",$F7="DDG",$F7="DD"),'Fleet Tech - Tech'!J$3,IF($F7="CL",'Fleet Tech - Tech'!J$4,IF($F7="CA",'Fleet Tech - Tech'!J$5,IF($F7="BC",'Fleet Tech - Tech'!J$6,IF($F7="BB",'Fleet Tech - Tech'!J$7,IF($F7="CVL",'Fleet Tech - Tech'!J$8,IF($F7="CV",'Fleet Tech - Tech'!J$9,IF($F7="SS",'Fleet Tech - Tech'!J$10,IF($F7="BBV",'Fleet Tech - Tech'!J$11,IF($F7="CB",'Fleet Tech - Tech'!J$15,IF($F7="AE",'Fleet Tech - Tech'!J$16,IF($F7="IX",'Fleet Tech - Tech'!J$17,IF($F7="BM",'Fleet Tech - Tech'!J$13,IF($F7="AR",'Fleet Tech - Tech'!J$12,IF($F7="SSV",'Fleet Tech - Tech'!J$14,"nil"))))))))))))))),0)</f>
        <v>0</v>
      </c>
      <c r="BD7" s="12">
        <f>IF($H7=3,IF(OR($F7="DDV",$F7="DDG",$F7="DD"),'Fleet Tech - Tech'!K$3,IF($F7="CL",'Fleet Tech - Tech'!K$4,IF($F7="CA",'Fleet Tech - Tech'!K$5,IF($F7="BC",'Fleet Tech - Tech'!K$6,IF($F7="BB",'Fleet Tech - Tech'!K$7,IF($F7="CVL",'Fleet Tech - Tech'!K$8,IF($F7="CV",'Fleet Tech - Tech'!K$9,IF($F7="SS",'Fleet Tech - Tech'!K$10,IF($F7="BBV",'Fleet Tech - Tech'!K$11,IF($F7="CB",'Fleet Tech - Tech'!K$15,IF($F7="AE",'Fleet Tech - Tech'!K$16,IF($F7="IX",'Fleet Tech - Tech'!K$17,IF($F7="BM",'Fleet Tech - Tech'!K$13,IF($F7="AR",'Fleet Tech - Tech'!K$12,IF($F7="SSV",'Fleet Tech - Tech'!K$14,"nil"))))))))))))))),0)</f>
        <v>0</v>
      </c>
      <c r="BE7" s="12">
        <f>IF($H7=3,IF(OR($F7="DDV",$F7="DDG",$F7="DD"),'Fleet Tech - Tech'!L$3,IF($F7="CL",'Fleet Tech - Tech'!L$4,IF($F7="CA",'Fleet Tech - Tech'!L$5,IF($F7="BC",'Fleet Tech - Tech'!L$6,IF($F7="BB",'Fleet Tech - Tech'!L$7,IF($F7="CVL",'Fleet Tech - Tech'!L$8,IF($F7="CV",'Fleet Tech - Tech'!L$9,IF($F7="SS",'Fleet Tech - Tech'!L$10,IF($F7="BBV",'Fleet Tech - Tech'!L$11,IF($F7="CB",'Fleet Tech - Tech'!L$15,IF($F7="AE",'Fleet Tech - Tech'!L$16,IF($F7="IX",'Fleet Tech - Tech'!L$17,IF($F7="BM",'Fleet Tech - Tech'!L$13,IF($F7="AR",'Fleet Tech - Tech'!L$12,IF($F7="SSV",'Fleet Tech - Tech'!L$14,"nil"))))))))))))))),0)</f>
        <v>1</v>
      </c>
      <c r="BF7" s="12">
        <f>IF($H7=3,IF(OR($F7="DDV",$F7="DDG",$F7="DD"),'Fleet Tech - Tech'!M$3,IF($F7="CL",'Fleet Tech - Tech'!M$4,IF($F7="CA",'Fleet Tech - Tech'!M$5,IF($F7="BC",'Fleet Tech - Tech'!M$6,IF($F7="BB",'Fleet Tech - Tech'!M$7,IF($F7="CVL",'Fleet Tech - Tech'!M$8,IF($F7="CV",'Fleet Tech - Tech'!M$9,IF($F7="SS",'Fleet Tech - Tech'!M$10,IF($F7="BBV",'Fleet Tech - Tech'!M$11,IF($F7="CB",'Fleet Tech - Tech'!M$15,IF($F7="AE",'Fleet Tech - Tech'!M$16,IF($F7="IX",'Fleet Tech - Tech'!M$17,IF($F7="BM",'Fleet Tech - Tech'!M$13,IF($F7="AR",'Fleet Tech - Tech'!M$12,IF($F7="SSV",'Fleet Tech - Tech'!M$14,"nil"))))))))))))))),0)</f>
        <v>5</v>
      </c>
      <c r="BG7" s="12">
        <f>IF($H7=3,IF(OR($F7="DDV",$F7="DDG",$F7="DD"),'Fleet Tech - Tech'!N$3,IF($F7="CL",'Fleet Tech - Tech'!N$4,IF($F7="CA",'Fleet Tech - Tech'!N$5,IF($F7="BC",'Fleet Tech - Tech'!N$6,IF($F7="BB",'Fleet Tech - Tech'!N$7,IF($F7="CVL",'Fleet Tech - Tech'!N$8,IF($F7="CV",'Fleet Tech - Tech'!N$9,IF($F7="SS",'Fleet Tech - Tech'!N$10,IF($F7="BBV",'Fleet Tech - Tech'!N$11,IF($F7="CB",'Fleet Tech - Tech'!N$15,IF($F7="AE",'Fleet Tech - Tech'!N$16,IF($F7="IX",'Fleet Tech - Tech'!N$17,IF($F7="BM",'Fleet Tech - Tech'!N$13,IF($F7="AR",'Fleet Tech - Tech'!N$12,IF($F7="SSV",'Fleet Tech - Tech'!N$14,"nil"))))))))))))))),0)</f>
        <v>0</v>
      </c>
      <c r="BH7" s="28"/>
      <c r="BI7" s="12">
        <v>1866</v>
      </c>
      <c r="BJ7" s="12">
        <v>77</v>
      </c>
      <c r="BK7" s="12">
        <v>181</v>
      </c>
      <c r="BL7" s="12">
        <v>202</v>
      </c>
      <c r="BM7" s="12">
        <v>69</v>
      </c>
      <c r="BN7" s="12">
        <v>488</v>
      </c>
      <c r="BO7" s="12">
        <v>203</v>
      </c>
      <c r="BP7" s="12">
        <v>0</v>
      </c>
      <c r="BQ7" s="12">
        <v>40</v>
      </c>
      <c r="BR7" s="12">
        <v>10</v>
      </c>
      <c r="BS7" s="12">
        <v>218</v>
      </c>
      <c r="BT7" s="12">
        <v>245</v>
      </c>
      <c r="BU7" s="12">
        <v>215</v>
      </c>
      <c r="BV7" s="12">
        <v>335</v>
      </c>
      <c r="BW7" s="28"/>
      <c r="BX7" s="12">
        <v>4</v>
      </c>
      <c r="BY7" s="12">
        <v>8</v>
      </c>
      <c r="BZ7" s="12">
        <v>5</v>
      </c>
      <c r="CA7" s="12">
        <v>10</v>
      </c>
      <c r="CB7" s="12">
        <v>5</v>
      </c>
      <c r="CC7" s="12">
        <v>9</v>
      </c>
      <c r="CD7" s="12">
        <v>5</v>
      </c>
      <c r="CE7" s="12">
        <v>9</v>
      </c>
      <c r="CF7" s="12">
        <v>5</v>
      </c>
      <c r="CG7" s="12">
        <v>10</v>
      </c>
      <c r="CH7" s="12">
        <v>3</v>
      </c>
      <c r="CI7" s="12">
        <v>10</v>
      </c>
      <c r="CJ7" s="47"/>
      <c r="CK7" s="48">
        <f>IF(BX7=5,320,IF(BX7=4,195,IF(BX7=3,132,IF(BX7=2,90,IF(BX7=1,58,IF(BX7=-1,0,35))))))</f>
        <v>195</v>
      </c>
      <c r="CL7" s="48">
        <f>IF(BX7=5,20,IF(BX7=4,15,IF(BX7=3,12,IF(BX7=2,10,IF(BX7=1,8,IF(BX7=-1,0,5))))))</f>
        <v>15</v>
      </c>
      <c r="CM7" s="48">
        <f>IF(BZ7=5,320,IF(BZ7=4,195,IF(BZ7=3,132,IF(BZ7=2,90,IF(BZ7=1,58,IF(BZ7=-1,0,35))))))</f>
        <v>320</v>
      </c>
      <c r="CN7" s="48">
        <f>IF(BZ7=5,20,IF(BZ7=4,15,IF(BZ7=3,12,IF(BZ7=2,10,IF(BZ7=1,8,IF(BZ7=-1,0,5))))))</f>
        <v>20</v>
      </c>
      <c r="CO7" s="48">
        <f>IF(CB7=5,320,IF(CB7=4,195,IF(CB7=3,132,IF(CB7=2,90,IF(CB7=1,58,IF(CB7=-1,0,35))))))</f>
        <v>320</v>
      </c>
      <c r="CP7" s="48">
        <f>IF(CB7=5,20,IF(CB7=4,15,IF(CB7=3,12,IF(CB7=2,10,IF(CB7=1,8,IF(CB7=-1,0,5))))))</f>
        <v>20</v>
      </c>
      <c r="CQ7" s="48">
        <f>IF(CD7=5,320,IF(CD7=4,195,IF(CD7=3,132,IF(CD7=2,90,IF(CD7=1,58,IF(CD7=-1,0,35))))))</f>
        <v>320</v>
      </c>
      <c r="CR7" s="48">
        <f>IF(CD7=5,20,IF(CD7=4,15,IF(CD7=3,12,IF(CD7=2,10,IF(CD7=1,8,IF(CD7=-1,0,5))))))</f>
        <v>20</v>
      </c>
      <c r="CS7" s="48">
        <f>IF(CF7=5,320,IF(CF7=4,195,IF(CF7=3,132,IF(CF7=2,90,IF(CF7=1,58,IF(CF7=-1,0,35))))))</f>
        <v>320</v>
      </c>
      <c r="CT7" s="48">
        <f>IF(CF7=5,20,IF(CF7=4,15,IF(CF7=3,12,IF(CF7=2,10,IF(CF7=1,8,IF(CF7=-1,0,5))))))</f>
        <v>20</v>
      </c>
      <c r="CU7" s="48">
        <f>IF(CH7=5,320,IF(CH7=4,195,IF(CH7=3,132,IF(CH7=2,90,IF(CH7=1,58,IF(CH7=-1,0,35))))))</f>
        <v>132</v>
      </c>
      <c r="CV7" s="48">
        <f>IF(CH7=5,20,IF(CH7=4,15,IF(CH7=3,12,IF(CH7=2,10,IF(CH7=1,8,IF(CH7=-1,0,5))))))</f>
        <v>12</v>
      </c>
      <c r="CW7" s="48">
        <f>IF(BY7&gt;10,(BY7/10)-ROUNDDOWN(BY7/10,0),0)+IF(CA7&gt;10,(CA7/10)-ROUNDDOWN(CA7/10,0),0)+IF(CC7&gt;10,(CC7/10)-ROUNDDOWN(CC7/10,0),0)+IF(CE7&gt;10,(CE7/10)-ROUNDDOWN(CE7/10,0),0)+IF(CG7&gt;10,(CG7/10)-ROUNDDOWN(CG7/10,0),0)+IF(CI7&gt;10,(CI7/10)-ROUNDDOWN(CI7/10,0),0)</f>
        <v>0</v>
      </c>
      <c r="CX7" s="48">
        <f>1+(CW7/10)</f>
        <v>1</v>
      </c>
    </row>
    <row r="8" ht="20.05" customHeight="1">
      <c r="A8" t="s" s="43">
        <v>256</v>
      </c>
      <c r="B8" t="s" s="44">
        <v>257</v>
      </c>
      <c r="C8" t="s" s="45">
        <v>73</v>
      </c>
      <c r="D8" s="13">
        <v>1</v>
      </c>
      <c r="E8" t="s" s="15">
        <v>258</v>
      </c>
      <c r="F8" t="s" s="15">
        <v>259</v>
      </c>
      <c r="G8" t="s" s="15">
        <v>234</v>
      </c>
      <c r="H8" s="12">
        <v>3</v>
      </c>
      <c r="I8" t="s" s="15">
        <v>235</v>
      </c>
      <c r="J8" s="12">
        <v>112</v>
      </c>
      <c r="K8" t="s" s="14">
        <v>236</v>
      </c>
      <c r="L8" t="s" s="15">
        <v>260</v>
      </c>
      <c r="M8" t="s" s="15">
        <v>260</v>
      </c>
      <c r="N8" s="46">
        <f>ROUND((SUM(AA8,T8:Y8,AC8:AE8,Z8*10)-AB8*15)*(IF(K8="Heavy",0.15,IF(K8="Medium",0,IF(K8="Light",-0.15,10)))+1),0)</f>
        <v>546</v>
      </c>
      <c r="O8" s="46">
        <v>2710</v>
      </c>
      <c r="P8" s="46">
        <f>ROUNDDOWN((BI8+AU8+AG8)/5,0)+(BJ8+AV8+AH8)+(BN8+AZ8+AL8)+(BO8+BA8+AM8)+(BK8+AW8+AI8)+(BS8+BE8+AQ8)+(BL8+AX8+AJ8)+(BQ8+BC8+AO8)+(2*((BT8+BF8+AR8)+(BU8+BG8+AS8)))+(CK8+CM8+CO8+CQ8+CS8+CU8)+(CL8*BY8)+(CN8*CA8)+(CP8+CC8)+(CR8+CE8)+(CT8+CG8)+(CV8+CI8)+BV8</f>
        <v>2812</v>
      </c>
      <c r="Q8" s="46">
        <f>ROUNDDOWN(((S8/5)+T8+X8+Y8+U8+AC8+V8+AA8+(2*(AD8+AE8))+CK8+CM8+CO8+CQ8+CS8+CU8+(CL8*BX8)+(CN8*BZ8)+(CP8*CB8)+(CR8*CD8)+(CT8*CF8)+(CV8*CH8))*CX8,0)</f>
        <v>2468</v>
      </c>
      <c r="R8" s="46">
        <f>ROUNDDOWN(AVERAGE(P8:Q8),0)</f>
        <v>2640</v>
      </c>
      <c r="S8" s="12">
        <f>AG8+AU8+BI8</f>
        <v>3645</v>
      </c>
      <c r="T8" s="12">
        <f>AH8+AV8+BJ8</f>
        <v>217</v>
      </c>
      <c r="U8" s="12">
        <f>AI8+AW8+BK8</f>
        <v>0</v>
      </c>
      <c r="V8" s="12">
        <f>AJ8+AX8+BL8</f>
        <v>0</v>
      </c>
      <c r="W8" s="12">
        <f>AK8+AY8+BM8</f>
        <v>51</v>
      </c>
      <c r="X8" s="12">
        <f>AL8+AZ8+BN8</f>
        <v>0</v>
      </c>
      <c r="Y8" s="12">
        <f>AM8+BA8+BO8</f>
        <v>0</v>
      </c>
      <c r="Z8" s="12">
        <f>AN8+BB8+BP8</f>
        <v>2</v>
      </c>
      <c r="AA8" s="12">
        <f>AO8+BC8+BQ8</f>
        <v>18</v>
      </c>
      <c r="AB8" s="12">
        <f>AP8+BD8+BR8</f>
        <v>6</v>
      </c>
      <c r="AC8" s="12">
        <f>AQ8+BE8+BS8</f>
        <v>159</v>
      </c>
      <c r="AD8" s="12">
        <f>AR8+BF8+BT8</f>
        <v>100</v>
      </c>
      <c r="AE8" s="12">
        <f>AS8+BG8+BU8</f>
        <v>167</v>
      </c>
      <c r="AF8" s="28"/>
      <c r="AG8" s="12">
        <v>1340</v>
      </c>
      <c r="AH8" s="12">
        <v>24</v>
      </c>
      <c r="AI8" s="12">
        <v>0</v>
      </c>
      <c r="AJ8" s="12">
        <v>0</v>
      </c>
      <c r="AK8" s="12">
        <v>0</v>
      </c>
      <c r="AL8" s="12">
        <v>0</v>
      </c>
      <c r="AM8" s="12">
        <v>0</v>
      </c>
      <c r="AN8" s="12">
        <v>0</v>
      </c>
      <c r="AO8" s="12">
        <v>0</v>
      </c>
      <c r="AP8" s="12">
        <v>0</v>
      </c>
      <c r="AQ8" s="12">
        <v>0</v>
      </c>
      <c r="AR8" s="12">
        <v>0</v>
      </c>
      <c r="AS8" s="12">
        <v>0</v>
      </c>
      <c r="AT8" s="28"/>
      <c r="AU8" s="12">
        <f>IF($H8=3,IF(OR($F8="DDV",$F8="DDG",$F8="DD"),'Fleet Tech - Tech'!B$3,IF($F8="CL",'Fleet Tech - Tech'!B$4,IF($F8="CA",'Fleet Tech - Tech'!B$5,IF($F8="BC",'Fleet Tech - Tech'!B$6,IF($F8="BB",'Fleet Tech - Tech'!B$7,IF($F8="CVL",'Fleet Tech - Tech'!B$8,IF($F8="CV",'Fleet Tech - Tech'!B$9,IF($F8="SS",'Fleet Tech - Tech'!B$10,IF($F8="BBV",'Fleet Tech - Tech'!B$11,IF($F8="CB",'Fleet Tech - Tech'!B$15,IF($F8="AE",'Fleet Tech - Tech'!B$16,IF($F8="IX",'Fleet Tech - Tech'!B$17,IF($F8="BM",'Fleet Tech - Tech'!B$13,IF($F8="AR",'Fleet Tech - Tech'!B$12,IF($F8="SSV",'Fleet Tech - Tech'!B$14,"nil"))))))))))))))),0)</f>
        <v>1</v>
      </c>
      <c r="AV8" s="12">
        <f>IF($H8=3,IF(OR($F8="DDV",$F8="DDG",$F8="DD"),'Fleet Tech - Tech'!C$3,IF($F8="CL",'Fleet Tech - Tech'!C$4,IF($F8="CA",'Fleet Tech - Tech'!C$5,IF($F8="BC",'Fleet Tech - Tech'!C$6,IF($F8="BB",'Fleet Tech - Tech'!C$7,IF($F8="CVL",'Fleet Tech - Tech'!C$8,IF($F8="CV",'Fleet Tech - Tech'!C$9,IF($F8="SS",'Fleet Tech - Tech'!C$10,IF($F8="BBV",'Fleet Tech - Tech'!C$11,IF($F8="CB",'Fleet Tech - Tech'!C$15,IF($F8="AE",'Fleet Tech - Tech'!C$16,IF($F8="IX",'Fleet Tech - Tech'!C$17,IF($F8="BM",'Fleet Tech - Tech'!C$13,IF($F8="AR",'Fleet Tech - Tech'!C$12,IF($F8="SSV",'Fleet Tech - Tech'!C$14,"nil"))))))))))))))),0)</f>
        <v>0</v>
      </c>
      <c r="AW8" s="12">
        <f>IF($H8=3,IF(OR($F8="DDV",$F8="DDG",$F8="DD"),'Fleet Tech - Tech'!D$3,IF($F8="CL",'Fleet Tech - Tech'!D$4,IF($F8="CA",'Fleet Tech - Tech'!D$5,IF($F8="BC",'Fleet Tech - Tech'!D$6,IF($F8="BB",'Fleet Tech - Tech'!D$7,IF($F8="CVL",'Fleet Tech - Tech'!D$8,IF($F8="CV",'Fleet Tech - Tech'!D$9,IF($F8="SS",'Fleet Tech - Tech'!D$10,IF($F8="BBV",'Fleet Tech - Tech'!D$11,IF($F8="CB",'Fleet Tech - Tech'!D$15,IF($F8="AE",'Fleet Tech - Tech'!D$16,IF($F8="IX",'Fleet Tech - Tech'!D$17,IF($F8="BM",'Fleet Tech - Tech'!D$13,IF($F8="AR",'Fleet Tech - Tech'!D$12,IF($F8="SSV",'Fleet Tech - Tech'!D$14,"nil"))))))))))))))),0)</f>
        <v>0</v>
      </c>
      <c r="AX8" s="12">
        <f>IF($H8=3,IF(OR($F8="DDV",$F8="DDG",$F8="DD"),'Fleet Tech - Tech'!E$3,IF($F8="CL",'Fleet Tech - Tech'!E$4,IF($F8="CA",'Fleet Tech - Tech'!E$5,IF($F8="BC",'Fleet Tech - Tech'!E$6,IF($F8="BB",'Fleet Tech - Tech'!E$7,IF($F8="CVL",'Fleet Tech - Tech'!E$8,IF($F8="CV",'Fleet Tech - Tech'!E$9,IF($F8="SS",'Fleet Tech - Tech'!E$10,IF($F8="BBV",'Fleet Tech - Tech'!E$11,IF($F8="CB",'Fleet Tech - Tech'!E$15,IF($F8="AE",'Fleet Tech - Tech'!E$16,IF($F8="IX",'Fleet Tech - Tech'!E$17,IF($F8="BM",'Fleet Tech - Tech'!E$13,IF($F8="AR",'Fleet Tech - Tech'!E$12,IF($F8="SSV",'Fleet Tech - Tech'!E$14,"nil"))))))))))))))),0)</f>
        <v>0</v>
      </c>
      <c r="AY8" s="12">
        <f>IF($H8=3,IF(OR($F8="DDV",$F8="DDG",$F8="DD"),'Fleet Tech - Tech'!F$3,IF($F8="CL",'Fleet Tech - Tech'!F$4,IF($F8="CA",'Fleet Tech - Tech'!F$5,IF($F8="BC",'Fleet Tech - Tech'!F$6,IF($F8="BB",'Fleet Tech - Tech'!F$7,IF($F8="CVL",'Fleet Tech - Tech'!F$8,IF($F8="CV",'Fleet Tech - Tech'!F$9,IF($F8="SS",'Fleet Tech - Tech'!F$10,IF($F8="BBV",'Fleet Tech - Tech'!F$11,IF($F8="CB",'Fleet Tech - Tech'!F$15,IF($F8="AE",'Fleet Tech - Tech'!F$16,IF($F8="IX",'Fleet Tech - Tech'!F$17,IF($F8="BM",'Fleet Tech - Tech'!F$13,IF($F8="AR",'Fleet Tech - Tech'!F$12,IF($F8="SSV",'Fleet Tech - Tech'!F$14,"nil"))))))))))))))),0)</f>
        <v>0</v>
      </c>
      <c r="AZ8" s="12">
        <f>IF($H8=3,IF(OR($F8="DDV",$F8="DDG",$F8="DD"),'Fleet Tech - Tech'!G$3,IF($F8="CL",'Fleet Tech - Tech'!G$4,IF($F8="CA",'Fleet Tech - Tech'!G$5,IF($F8="BC",'Fleet Tech - Tech'!G$6,IF($F8="BB",'Fleet Tech - Tech'!G$7,IF($F8="CVL",'Fleet Tech - Tech'!G$8,IF($F8="CV",'Fleet Tech - Tech'!G$9,IF($F8="SS",'Fleet Tech - Tech'!G$10,IF($F8="BBV",'Fleet Tech - Tech'!G$11,IF($F8="CB",'Fleet Tech - Tech'!G$15,IF($F8="AE",'Fleet Tech - Tech'!G$16,IF($F8="IX",'Fleet Tech - Tech'!G$17,IF($F8="BM",'Fleet Tech - Tech'!G$13,IF($F8="AR",'Fleet Tech - Tech'!G$12,IF($F8="SSV",'Fleet Tech - Tech'!G$14,"nil"))))))))))))))),0)</f>
        <v>0</v>
      </c>
      <c r="BA8" s="12">
        <f>IF($H8=3,IF(OR($F8="DDV",$F8="DDG",$F8="DD"),'Fleet Tech - Tech'!H$3,IF($F8="CL",'Fleet Tech - Tech'!H$4,IF($F8="CA",'Fleet Tech - Tech'!H$5,IF($F8="BC",'Fleet Tech - Tech'!H$6,IF($F8="BB",'Fleet Tech - Tech'!H$7,IF($F8="CVL",'Fleet Tech - Tech'!H$8,IF($F8="CV",'Fleet Tech - Tech'!H$9,IF($F8="SS",'Fleet Tech - Tech'!H$10,IF($F8="BBV",'Fleet Tech - Tech'!H$11,IF($F8="CB",'Fleet Tech - Tech'!H$15,IF($F8="AE",'Fleet Tech - Tech'!H$16,IF($F8="IX",'Fleet Tech - Tech'!H$17,IF($F8="BM",'Fleet Tech - Tech'!H$13,IF($F8="AR",'Fleet Tech - Tech'!H$12,IF($F8="SSV",'Fleet Tech - Tech'!H$14,"nil"))))))))))))))),0)</f>
        <v>0</v>
      </c>
      <c r="BB8" s="12">
        <f>IF($H8=3,IF(OR($F8="DDV",$F8="DDG",$F8="DD"),'Fleet Tech - Tech'!I$3,IF($F8="CL",'Fleet Tech - Tech'!I$4,IF($F8="CA",'Fleet Tech - Tech'!I$5,IF($F8="BC",'Fleet Tech - Tech'!I$6,IF($F8="BB",'Fleet Tech - Tech'!I$7,IF($F8="CVL",'Fleet Tech - Tech'!I$8,IF($F8="CV",'Fleet Tech - Tech'!I$9,IF($F8="SS",'Fleet Tech - Tech'!I$10,IF($F8="BBV",'Fleet Tech - Tech'!I$11,IF($F8="CB",'Fleet Tech - Tech'!I$15,IF($F8="AE",'Fleet Tech - Tech'!I$16,IF($F8="IX",'Fleet Tech - Tech'!I$17,IF($F8="BM",'Fleet Tech - Tech'!I$13,IF($F8="AR",'Fleet Tech - Tech'!I$12,IF($F8="SSV",'Fleet Tech - Tech'!I$14,"nil"))))))))))))))),0)</f>
        <v>0</v>
      </c>
      <c r="BC8" s="12">
        <f>IF($H8=3,IF(OR($F8="DDV",$F8="DDG",$F8="DD"),'Fleet Tech - Tech'!J$3,IF($F8="CL",'Fleet Tech - Tech'!J$4,IF($F8="CA",'Fleet Tech - Tech'!J$5,IF($F8="BC",'Fleet Tech - Tech'!J$6,IF($F8="BB",'Fleet Tech - Tech'!J$7,IF($F8="CVL",'Fleet Tech - Tech'!J$8,IF($F8="CV",'Fleet Tech - Tech'!J$9,IF($F8="SS",'Fleet Tech - Tech'!J$10,IF($F8="BBV",'Fleet Tech - Tech'!J$11,IF($F8="CB",'Fleet Tech - Tech'!J$15,IF($F8="AE",'Fleet Tech - Tech'!J$16,IF($F8="IX",'Fleet Tech - Tech'!J$17,IF($F8="BM",'Fleet Tech - Tech'!J$13,IF($F8="AR",'Fleet Tech - Tech'!J$12,IF($F8="SSV",'Fleet Tech - Tech'!J$14,"nil"))))))))))))))),0)</f>
        <v>0</v>
      </c>
      <c r="BD8" s="12">
        <f>IF($H8=3,IF(OR($F8="DDV",$F8="DDG",$F8="DD"),'Fleet Tech - Tech'!K$3,IF($F8="CL",'Fleet Tech - Tech'!K$4,IF($F8="CA",'Fleet Tech - Tech'!K$5,IF($F8="BC",'Fleet Tech - Tech'!K$6,IF($F8="BB",'Fleet Tech - Tech'!K$7,IF($F8="CVL",'Fleet Tech - Tech'!K$8,IF($F8="CV",'Fleet Tech - Tech'!K$9,IF($F8="SS",'Fleet Tech - Tech'!K$10,IF($F8="BBV",'Fleet Tech - Tech'!K$11,IF($F8="CB",'Fleet Tech - Tech'!K$15,IF($F8="AE",'Fleet Tech - Tech'!K$16,IF($F8="IX",'Fleet Tech - Tech'!K$17,IF($F8="BM",'Fleet Tech - Tech'!K$13,IF($F8="AR",'Fleet Tech - Tech'!K$12,IF($F8="SSV",'Fleet Tech - Tech'!K$14,"nil"))))))))))))))),0)</f>
        <v>0</v>
      </c>
      <c r="BE8" s="12">
        <f>IF($H8=3,IF(OR($F8="DDV",$F8="DDG",$F8="DD"),'Fleet Tech - Tech'!L$3,IF($F8="CL",'Fleet Tech - Tech'!L$4,IF($F8="CA",'Fleet Tech - Tech'!L$5,IF($F8="BC",'Fleet Tech - Tech'!L$6,IF($F8="BB",'Fleet Tech - Tech'!L$7,IF($F8="CVL",'Fleet Tech - Tech'!L$8,IF($F8="CV",'Fleet Tech - Tech'!L$9,IF($F8="SS",'Fleet Tech - Tech'!L$10,IF($F8="BBV",'Fleet Tech - Tech'!L$11,IF($F8="CB",'Fleet Tech - Tech'!L$15,IF($F8="AE",'Fleet Tech - Tech'!L$16,IF($F8="IX",'Fleet Tech - Tech'!L$17,IF($F8="BM",'Fleet Tech - Tech'!L$13,IF($F8="AR",'Fleet Tech - Tech'!L$12,IF($F8="SSV",'Fleet Tech - Tech'!L$14,"nil"))))))))))))))),0)</f>
        <v>0</v>
      </c>
      <c r="BF8" s="12">
        <f>IF($H8=3,IF(OR($F8="DDV",$F8="DDG",$F8="DD"),'Fleet Tech - Tech'!M$3,IF($F8="CL",'Fleet Tech - Tech'!M$4,IF($F8="CA",'Fleet Tech - Tech'!M$5,IF($F8="BC",'Fleet Tech - Tech'!M$6,IF($F8="BB",'Fleet Tech - Tech'!M$7,IF($F8="CVL",'Fleet Tech - Tech'!M$8,IF($F8="CV",'Fleet Tech - Tech'!M$9,IF($F8="SS",'Fleet Tech - Tech'!M$10,IF($F8="BBV",'Fleet Tech - Tech'!M$11,IF($F8="CB",'Fleet Tech - Tech'!M$15,IF($F8="AE",'Fleet Tech - Tech'!M$16,IF($F8="IX",'Fleet Tech - Tech'!M$17,IF($F8="BM",'Fleet Tech - Tech'!M$13,IF($F8="AR",'Fleet Tech - Tech'!M$12,IF($F8="SSV",'Fleet Tech - Tech'!M$14,"nil"))))))))))))))),0)</f>
        <v>0</v>
      </c>
      <c r="BG8" s="12">
        <f>IF($H8=3,IF(OR($F8="DDV",$F8="DDG",$F8="DD"),'Fleet Tech - Tech'!N$3,IF($F8="CL",'Fleet Tech - Tech'!N$4,IF($F8="CA",'Fleet Tech - Tech'!N$5,IF($F8="BC",'Fleet Tech - Tech'!N$6,IF($F8="BB",'Fleet Tech - Tech'!N$7,IF($F8="CVL",'Fleet Tech - Tech'!N$8,IF($F8="CV",'Fleet Tech - Tech'!N$9,IF($F8="SS",'Fleet Tech - Tech'!N$10,IF($F8="BBV",'Fleet Tech - Tech'!N$11,IF($F8="CB",'Fleet Tech - Tech'!N$15,IF($F8="AE",'Fleet Tech - Tech'!N$16,IF($F8="IX",'Fleet Tech - Tech'!N$17,IF($F8="BM",'Fleet Tech - Tech'!N$13,IF($F8="AR",'Fleet Tech - Tech'!N$12,IF($F8="SSV",'Fleet Tech - Tech'!N$14,"nil"))))))))))))))),0)</f>
        <v>0</v>
      </c>
      <c r="BH8" s="28"/>
      <c r="BI8" s="12">
        <v>2304</v>
      </c>
      <c r="BJ8" s="12">
        <v>193</v>
      </c>
      <c r="BK8" s="12">
        <v>0</v>
      </c>
      <c r="BL8" s="12">
        <v>0</v>
      </c>
      <c r="BM8" s="12">
        <v>51</v>
      </c>
      <c r="BN8" s="12">
        <v>0</v>
      </c>
      <c r="BO8" s="12">
        <v>0</v>
      </c>
      <c r="BP8" s="12">
        <v>2</v>
      </c>
      <c r="BQ8" s="12">
        <v>18</v>
      </c>
      <c r="BR8" s="12">
        <v>6</v>
      </c>
      <c r="BS8" s="12">
        <v>159</v>
      </c>
      <c r="BT8" s="12">
        <v>100</v>
      </c>
      <c r="BU8" s="12">
        <v>167</v>
      </c>
      <c r="BV8" s="12">
        <v>335</v>
      </c>
      <c r="BW8" s="28"/>
      <c r="BX8" s="12">
        <v>2</v>
      </c>
      <c r="BY8" s="12">
        <v>6</v>
      </c>
      <c r="BZ8" s="12">
        <v>2</v>
      </c>
      <c r="CA8" s="12">
        <v>6</v>
      </c>
      <c r="CB8" s="12">
        <v>3</v>
      </c>
      <c r="CC8" s="12">
        <v>7</v>
      </c>
      <c r="CD8" s="12">
        <v>4</v>
      </c>
      <c r="CE8" s="12">
        <v>6</v>
      </c>
      <c r="CF8" s="12">
        <v>3</v>
      </c>
      <c r="CG8" s="12">
        <v>10</v>
      </c>
      <c r="CH8" s="12">
        <v>-1</v>
      </c>
      <c r="CI8" s="12">
        <v>-1</v>
      </c>
      <c r="CJ8" s="47"/>
      <c r="CK8" s="48">
        <f>IF(BX8=5,320,IF(BX8=4,195,IF(BX8=3,132,IF(BX8=2,90,IF(BX8=1,58,IF(BX8=-1,0,35))))))</f>
        <v>90</v>
      </c>
      <c r="CL8" s="48">
        <f>IF(BX8=5,20,IF(BX8=4,15,IF(BX8=3,12,IF(BX8=2,10,IF(BX8=1,8,IF(BX8=-1,0,5))))))</f>
        <v>10</v>
      </c>
      <c r="CM8" s="48">
        <f>IF(BZ8=5,320,IF(BZ8=4,195,IF(BZ8=3,132,IF(BZ8=2,90,IF(BZ8=1,58,IF(BZ8=-1,0,35))))))</f>
        <v>90</v>
      </c>
      <c r="CN8" s="48">
        <f>IF(BZ8=5,20,IF(BZ8=4,15,IF(BZ8=3,12,IF(BZ8=2,10,IF(BZ8=1,8,IF(BZ8=-1,0,5))))))</f>
        <v>10</v>
      </c>
      <c r="CO8" s="48">
        <f>IF(CB8=5,320,IF(CB8=4,195,IF(CB8=3,132,IF(CB8=2,90,IF(CB8=1,58,IF(CB8=-1,0,35))))))</f>
        <v>132</v>
      </c>
      <c r="CP8" s="48">
        <f>IF(CB8=5,20,IF(CB8=4,15,IF(CB8=3,12,IF(CB8=2,10,IF(CB8=1,8,IF(CB8=-1,0,5))))))</f>
        <v>12</v>
      </c>
      <c r="CQ8" s="48">
        <f>IF(CD8=5,320,IF(CD8=4,195,IF(CD8=3,132,IF(CD8=2,90,IF(CD8=1,58,IF(CD8=-1,0,35))))))</f>
        <v>195</v>
      </c>
      <c r="CR8" s="48">
        <f>IF(CD8=5,20,IF(CD8=4,15,IF(CD8=3,12,IF(CD8=2,10,IF(CD8=1,8,IF(CD8=-1,0,5))))))</f>
        <v>15</v>
      </c>
      <c r="CS8" s="48">
        <f>IF(CF8=5,320,IF(CF8=4,195,IF(CF8=3,132,IF(CF8=2,90,IF(CF8=1,58,IF(CF8=-1,0,35))))))</f>
        <v>132</v>
      </c>
      <c r="CT8" s="48">
        <f>IF(CF8=5,20,IF(CF8=4,15,IF(CF8=3,12,IF(CF8=2,10,IF(CF8=1,8,IF(CF8=-1,0,5))))))</f>
        <v>12</v>
      </c>
      <c r="CU8" s="48">
        <f>IF(CH8=5,320,IF(CH8=4,195,IF(CH8=3,132,IF(CH8=2,90,IF(CH8=1,58,IF(CH8=-1,0,35))))))</f>
        <v>0</v>
      </c>
      <c r="CV8" s="48">
        <f>IF(CH8=5,20,IF(CH8=4,15,IF(CH8=3,12,IF(CH8=2,10,IF(CH8=1,8,IF(CH8=-1,0,5))))))</f>
        <v>0</v>
      </c>
      <c r="CW8" s="48">
        <f>IF(BY8&gt;10,(BY8/10)-ROUNDDOWN(BY8/10,0),0)+IF(CA8&gt;10,(CA8/10)-ROUNDDOWN(CA8/10,0),0)+IF(CC8&gt;10,(CC8/10)-ROUNDDOWN(CC8/10,0),0)+IF(CE8&gt;10,(CE8/10)-ROUNDDOWN(CE8/10,0),0)+IF(CG8&gt;10,(CG8/10)-ROUNDDOWN(CG8/10,0),0)+IF(CI8&gt;10,(CI8/10)-ROUNDDOWN(CI8/10,0),0)</f>
        <v>0</v>
      </c>
      <c r="CX8" s="48">
        <f>1+(CW8/10)</f>
        <v>1</v>
      </c>
    </row>
    <row r="9" ht="20.05" customHeight="1">
      <c r="A9" t="s" s="43">
        <v>261</v>
      </c>
      <c r="B9" s="49"/>
      <c r="C9" t="s" s="45">
        <v>73</v>
      </c>
      <c r="D9" s="13">
        <v>1</v>
      </c>
      <c r="E9" t="s" s="15">
        <v>232</v>
      </c>
      <c r="F9" t="s" s="15">
        <v>57</v>
      </c>
      <c r="G9" t="s" s="15">
        <v>262</v>
      </c>
      <c r="H9" s="12">
        <v>3</v>
      </c>
      <c r="I9" t="s" s="15">
        <v>263</v>
      </c>
      <c r="J9" s="12">
        <v>99</v>
      </c>
      <c r="K9" t="s" s="14">
        <v>264</v>
      </c>
      <c r="L9" t="s" s="15">
        <v>265</v>
      </c>
      <c r="M9" t="s" s="15">
        <v>69</v>
      </c>
      <c r="N9" s="46">
        <f>ROUND((SUM(AA9,T9:Y9,AC9:AE9,Z9*10)-AB9*15)*(IF(K9="Heavy",0.15,IF(K9="Medium",0,IF(K9="Light",-0.15,10)))+1),0)</f>
        <v>1233</v>
      </c>
      <c r="O9" s="46">
        <v>4238</v>
      </c>
      <c r="P9" s="46">
        <f>ROUNDDOWN((BI9+AU9+AG9)/5,0)+(BJ9+AV9+AH9)+(BN9+AZ9+AL9)+(BO9+BA9+AM9)+(BK9+AW9+AI9)+(BS9+BE9+AQ9)+(BL9+AX9+AJ9)+(BQ9+BC9+AO9)+(2*((BT9+BF9+AR9)+(BU9+BG9+AS9)))+(CK9+CM9+CO9+CQ9+CS9+CU9)+(CL9*BY9)+(CN9*CA9)+(CP9+CC9)+(CR9+CE9)+(CT9+CG9)+(CV9+CI9)+BV9</f>
        <v>4679</v>
      </c>
      <c r="Q9" s="46">
        <f>ROUNDDOWN(((S9/5)+T9+X9+Y9+U9+AC9+V9+AA9+(2*(AD9+AE9))+CK9+CM9+CO9+CQ9+CS9+CU9+(CL9*BX9)+(CN9*BZ9)+(CP9*CB9)+(CR9*CD9)+(CT9*CF9)+(CV9*CH9))*CX9,0)</f>
        <v>4328</v>
      </c>
      <c r="R9" s="46">
        <f>ROUNDDOWN(AVERAGE(P9:Q9),0)</f>
        <v>4503</v>
      </c>
      <c r="S9" s="12">
        <f>AG9+AU9+BI9</f>
        <v>7121</v>
      </c>
      <c r="T9" s="12">
        <f>AH9+AV9+BJ9</f>
        <v>671</v>
      </c>
      <c r="U9" s="12">
        <f>AI9+AW9+BK9</f>
        <v>244</v>
      </c>
      <c r="V9" s="12">
        <f>AJ9+AX9+BL9</f>
        <v>0</v>
      </c>
      <c r="W9" s="12">
        <f>AK9+AY9+BM9</f>
        <v>50</v>
      </c>
      <c r="X9" s="12">
        <f>AL9+AZ9+BN9</f>
        <v>20</v>
      </c>
      <c r="Y9" s="12">
        <f>AM9+BA9+BO9</f>
        <v>0</v>
      </c>
      <c r="Z9" s="12">
        <f>AN9+BB9+BP9</f>
        <v>0</v>
      </c>
      <c r="AA9" s="12">
        <f>AO9+BC9+BQ9</f>
        <v>24</v>
      </c>
      <c r="AB9" s="12">
        <f>AP9+BD9+BR9</f>
        <v>15</v>
      </c>
      <c r="AC9" s="12">
        <f>AQ9+BE9+BS9</f>
        <v>117</v>
      </c>
      <c r="AD9" s="12">
        <f>AR9+BF9+BT9</f>
        <v>32</v>
      </c>
      <c r="AE9" s="12">
        <f>AS9+BG9+BU9</f>
        <v>139</v>
      </c>
      <c r="AF9" s="28"/>
      <c r="AG9" s="12">
        <v>680</v>
      </c>
      <c r="AH9" s="12">
        <v>135</v>
      </c>
      <c r="AI9" s="12">
        <v>45</v>
      </c>
      <c r="AJ9" s="28"/>
      <c r="AK9" s="28"/>
      <c r="AL9" s="12">
        <v>17</v>
      </c>
      <c r="AM9" s="28"/>
      <c r="AN9" s="28"/>
      <c r="AO9" s="28"/>
      <c r="AP9" s="28"/>
      <c r="AQ9" s="28"/>
      <c r="AR9" s="28"/>
      <c r="AS9" s="12">
        <v>33</v>
      </c>
      <c r="AT9" s="28"/>
      <c r="AU9" s="12">
        <f>IF($H9=3,IF(OR($F9="DDV",$F9="DDG",$F9="DD"),'Fleet Tech - Tech'!B$3,IF($F9="CL",'Fleet Tech - Tech'!B$4,IF($F9="CA",'Fleet Tech - Tech'!B$5,IF($F9="BC",'Fleet Tech - Tech'!B$6,IF($F9="BB",'Fleet Tech - Tech'!B$7,IF($F9="CVL",'Fleet Tech - Tech'!B$8,IF($F9="CV",'Fleet Tech - Tech'!B$9,IF($F9="SS",'Fleet Tech - Tech'!B$10,IF($F9="BBV",'Fleet Tech - Tech'!B$11,IF($F9="CB",'Fleet Tech - Tech'!B$15,IF($F9="AE",'Fleet Tech - Tech'!B$16,IF($F9="IX",'Fleet Tech - Tech'!B$17,IF($F9="BM",'Fleet Tech - Tech'!B$13,IF($F9="AR",'Fleet Tech - Tech'!B$12,IF($F9="SSV",'Fleet Tech - Tech'!B$14,"nil"))))))))))))))),0)</f>
        <v>52</v>
      </c>
      <c r="AV9" s="12">
        <f>IF($H9=3,IF(OR($F9="DDV",$F9="DDG",$F9="DD"),'Fleet Tech - Tech'!C$3,IF($F9="CL",'Fleet Tech - Tech'!C$4,IF($F9="CA",'Fleet Tech - Tech'!C$5,IF($F9="BC",'Fleet Tech - Tech'!C$6,IF($F9="BB",'Fleet Tech - Tech'!C$7,IF($F9="CVL",'Fleet Tech - Tech'!C$8,IF($F9="CV",'Fleet Tech - Tech'!C$9,IF($F9="SS",'Fleet Tech - Tech'!C$10,IF($F9="BBV",'Fleet Tech - Tech'!C$11,IF($F9="CB",'Fleet Tech - Tech'!C$15,IF($F9="AE",'Fleet Tech - Tech'!C$16,IF($F9="IX",'Fleet Tech - Tech'!C$17,IF($F9="BM",'Fleet Tech - Tech'!C$13,IF($F9="AR",'Fleet Tech - Tech'!C$12,IF($F9="SSV",'Fleet Tech - Tech'!C$14,"nil"))))))))))))))),0)</f>
        <v>5</v>
      </c>
      <c r="AW9" s="12">
        <f>IF($H9=3,IF(OR($F9="DDV",$F9="DDG",$F9="DD"),'Fleet Tech - Tech'!D$3,IF($F9="CL",'Fleet Tech - Tech'!D$4,IF($F9="CA",'Fleet Tech - Tech'!D$5,IF($F9="BC",'Fleet Tech - Tech'!D$6,IF($F9="BB",'Fleet Tech - Tech'!D$7,IF($F9="CVL",'Fleet Tech - Tech'!D$8,IF($F9="CV",'Fleet Tech - Tech'!D$9,IF($F9="SS",'Fleet Tech - Tech'!D$10,IF($F9="BBV",'Fleet Tech - Tech'!D$11,IF($F9="CB",'Fleet Tech - Tech'!D$15,IF($F9="AE",'Fleet Tech - Tech'!D$16,IF($F9="IX",'Fleet Tech - Tech'!D$17,IF($F9="BM",'Fleet Tech - Tech'!D$13,IF($F9="AR",'Fleet Tech - Tech'!D$12,IF($F9="SSV",'Fleet Tech - Tech'!D$14,"nil"))))))))))))))),0)</f>
        <v>0</v>
      </c>
      <c r="AX9" s="12">
        <f>IF($H9=3,IF(OR($F9="DDV",$F9="DDG",$F9="DD"),'Fleet Tech - Tech'!E$3,IF($F9="CL",'Fleet Tech - Tech'!E$4,IF($F9="CA",'Fleet Tech - Tech'!E$5,IF($F9="BC",'Fleet Tech - Tech'!E$6,IF($F9="BB",'Fleet Tech - Tech'!E$7,IF($F9="CVL",'Fleet Tech - Tech'!E$8,IF($F9="CV",'Fleet Tech - Tech'!E$9,IF($F9="SS",'Fleet Tech - Tech'!E$10,IF($F9="BBV",'Fleet Tech - Tech'!E$11,IF($F9="CB",'Fleet Tech - Tech'!E$15,IF($F9="AE",'Fleet Tech - Tech'!E$16,IF($F9="IX",'Fleet Tech - Tech'!E$17,IF($F9="BM",'Fleet Tech - Tech'!E$13,IF($F9="AR",'Fleet Tech - Tech'!E$12,IF($F9="SSV",'Fleet Tech - Tech'!E$14,"nil"))))))))))))))),0)</f>
        <v>0</v>
      </c>
      <c r="AY9" s="12">
        <f>IF($H9=3,IF(OR($F9="DDV",$F9="DDG",$F9="DD"),'Fleet Tech - Tech'!F$3,IF($F9="CL",'Fleet Tech - Tech'!F$4,IF($F9="CA",'Fleet Tech - Tech'!F$5,IF($F9="BC",'Fleet Tech - Tech'!F$6,IF($F9="BB",'Fleet Tech - Tech'!F$7,IF($F9="CVL",'Fleet Tech - Tech'!F$8,IF($F9="CV",'Fleet Tech - Tech'!F$9,IF($F9="SS",'Fleet Tech - Tech'!F$10,IF($F9="BBV",'Fleet Tech - Tech'!F$11,IF($F9="CB",'Fleet Tech - Tech'!F$15,IF($F9="AE",'Fleet Tech - Tech'!F$16,IF($F9="IX",'Fleet Tech - Tech'!F$17,IF($F9="BM",'Fleet Tech - Tech'!F$13,IF($F9="AR",'Fleet Tech - Tech'!F$12,IF($F9="SSV",'Fleet Tech - Tech'!F$14,"nil"))))))))))))))),0)</f>
        <v>0</v>
      </c>
      <c r="AZ9" s="12">
        <f>IF($H9=3,IF(OR($F9="DDV",$F9="DDG",$F9="DD"),'Fleet Tech - Tech'!G$3,IF($F9="CL",'Fleet Tech - Tech'!G$4,IF($F9="CA",'Fleet Tech - Tech'!G$5,IF($F9="BC",'Fleet Tech - Tech'!G$6,IF($F9="BB",'Fleet Tech - Tech'!G$7,IF($F9="CVL",'Fleet Tech - Tech'!G$8,IF($F9="CV",'Fleet Tech - Tech'!G$9,IF($F9="SS",'Fleet Tech - Tech'!G$10,IF($F9="BBV",'Fleet Tech - Tech'!G$11,IF($F9="CB",'Fleet Tech - Tech'!G$15,IF($F9="AE",'Fleet Tech - Tech'!G$16,IF($F9="IX",'Fleet Tech - Tech'!G$17,IF($F9="BM",'Fleet Tech - Tech'!G$13,IF($F9="AR",'Fleet Tech - Tech'!G$12,IF($F9="SSV",'Fleet Tech - Tech'!G$14,"nil"))))))))))))))),0)</f>
        <v>3</v>
      </c>
      <c r="BA9" s="12">
        <f>IF($H9=3,IF(OR($F9="DDV",$F9="DDG",$F9="DD"),'Fleet Tech - Tech'!H$3,IF($F9="CL",'Fleet Tech - Tech'!H$4,IF($F9="CA",'Fleet Tech - Tech'!H$5,IF($F9="BC",'Fleet Tech - Tech'!H$6,IF($F9="BB",'Fleet Tech - Tech'!H$7,IF($F9="CVL",'Fleet Tech - Tech'!H$8,IF($F9="CV",'Fleet Tech - Tech'!H$9,IF($F9="SS",'Fleet Tech - Tech'!H$10,IF($F9="BBV",'Fleet Tech - Tech'!H$11,IF($F9="CB",'Fleet Tech - Tech'!H$15,IF($F9="AE",'Fleet Tech - Tech'!H$16,IF($F9="IX",'Fleet Tech - Tech'!H$17,IF($F9="BM",'Fleet Tech - Tech'!H$13,IF($F9="AR",'Fleet Tech - Tech'!H$12,IF($F9="SSV",'Fleet Tech - Tech'!H$14,"nil"))))))))))))))),0)</f>
        <v>0</v>
      </c>
      <c r="BB9" s="12">
        <f>IF($H9=3,IF(OR($F9="DDV",$F9="DDG",$F9="DD"),'Fleet Tech - Tech'!I$3,IF($F9="CL",'Fleet Tech - Tech'!I$4,IF($F9="CA",'Fleet Tech - Tech'!I$5,IF($F9="BC",'Fleet Tech - Tech'!I$6,IF($F9="BB",'Fleet Tech - Tech'!I$7,IF($F9="CVL",'Fleet Tech - Tech'!I$8,IF($F9="CV",'Fleet Tech - Tech'!I$9,IF($F9="SS",'Fleet Tech - Tech'!I$10,IF($F9="BBV",'Fleet Tech - Tech'!I$11,IF($F9="CB",'Fleet Tech - Tech'!I$15,IF($F9="AE",'Fleet Tech - Tech'!I$16,IF($F9="IX",'Fleet Tech - Tech'!I$17,IF($F9="BM",'Fleet Tech - Tech'!I$13,IF($F9="AR",'Fleet Tech - Tech'!I$12,IF($F9="SSV",'Fleet Tech - Tech'!I$14,"nil"))))))))))))))),0)</f>
        <v>0</v>
      </c>
      <c r="BC9" s="12">
        <f>IF($H9=3,IF(OR($F9="DDV",$F9="DDG",$F9="DD"),'Fleet Tech - Tech'!J$3,IF($F9="CL",'Fleet Tech - Tech'!J$4,IF($F9="CA",'Fleet Tech - Tech'!J$5,IF($F9="BC",'Fleet Tech - Tech'!J$6,IF($F9="BB",'Fleet Tech - Tech'!J$7,IF($F9="CVL",'Fleet Tech - Tech'!J$8,IF($F9="CV",'Fleet Tech - Tech'!J$9,IF($F9="SS",'Fleet Tech - Tech'!J$10,IF($F9="BBV",'Fleet Tech - Tech'!J$11,IF($F9="CB",'Fleet Tech - Tech'!J$15,IF($F9="AE",'Fleet Tech - Tech'!J$16,IF($F9="IX",'Fleet Tech - Tech'!J$17,IF($F9="BM",'Fleet Tech - Tech'!J$13,IF($F9="AR",'Fleet Tech - Tech'!J$12,IF($F9="SSV",'Fleet Tech - Tech'!J$14,"nil"))))))))))))))),0)</f>
        <v>0</v>
      </c>
      <c r="BD9" s="12">
        <f>IF($H9=3,IF(OR($F9="DDV",$F9="DDG",$F9="DD"),'Fleet Tech - Tech'!K$3,IF($F9="CL",'Fleet Tech - Tech'!K$4,IF($F9="CA",'Fleet Tech - Tech'!K$5,IF($F9="BC",'Fleet Tech - Tech'!K$6,IF($F9="BB",'Fleet Tech - Tech'!K$7,IF($F9="CVL",'Fleet Tech - Tech'!K$8,IF($F9="CV",'Fleet Tech - Tech'!K$9,IF($F9="SS",'Fleet Tech - Tech'!K$10,IF($F9="BBV",'Fleet Tech - Tech'!K$11,IF($F9="CB",'Fleet Tech - Tech'!K$15,IF($F9="AE",'Fleet Tech - Tech'!K$16,IF($F9="IX",'Fleet Tech - Tech'!K$17,IF($F9="BM",'Fleet Tech - Tech'!K$13,IF($F9="AR",'Fleet Tech - Tech'!K$12,IF($F9="SSV",'Fleet Tech - Tech'!K$14,"nil"))))))))))))))),0)</f>
        <v>0</v>
      </c>
      <c r="BE9" s="12">
        <f>IF($H9=3,IF(OR($F9="DDV",$F9="DDG",$F9="DD"),'Fleet Tech - Tech'!L$3,IF($F9="CL",'Fleet Tech - Tech'!L$4,IF($F9="CA",'Fleet Tech - Tech'!L$5,IF($F9="BC",'Fleet Tech - Tech'!L$6,IF($F9="BB",'Fleet Tech - Tech'!L$7,IF($F9="CVL",'Fleet Tech - Tech'!L$8,IF($F9="CV",'Fleet Tech - Tech'!L$9,IF($F9="SS",'Fleet Tech - Tech'!L$10,IF($F9="BBV",'Fleet Tech - Tech'!L$11,IF($F9="CB",'Fleet Tech - Tech'!L$15,IF($F9="AE",'Fleet Tech - Tech'!L$16,IF($F9="IX",'Fleet Tech - Tech'!L$17,IF($F9="BM",'Fleet Tech - Tech'!L$13,IF($F9="AR",'Fleet Tech - Tech'!L$12,IF($F9="SSV",'Fleet Tech - Tech'!L$14,"nil"))))))))))))))),0)</f>
        <v>2</v>
      </c>
      <c r="BF9" s="12">
        <f>IF($H9=3,IF(OR($F9="DDV",$F9="DDG",$F9="DD"),'Fleet Tech - Tech'!M$3,IF($F9="CL",'Fleet Tech - Tech'!M$4,IF($F9="CA",'Fleet Tech - Tech'!M$5,IF($F9="BC",'Fleet Tech - Tech'!M$6,IF($F9="BB",'Fleet Tech - Tech'!M$7,IF($F9="CVL",'Fleet Tech - Tech'!M$8,IF($F9="CV",'Fleet Tech - Tech'!M$9,IF($F9="SS",'Fleet Tech - Tech'!M$10,IF($F9="BBV",'Fleet Tech - Tech'!M$11,IF($F9="CB",'Fleet Tech - Tech'!M$15,IF($F9="AE",'Fleet Tech - Tech'!M$16,IF($F9="IX",'Fleet Tech - Tech'!M$17,IF($F9="BM",'Fleet Tech - Tech'!M$13,IF($F9="AR",'Fleet Tech - Tech'!M$12,IF($F9="SSV",'Fleet Tech - Tech'!M$14,"nil"))))))))))))))),0)</f>
        <v>0</v>
      </c>
      <c r="BG9" s="12">
        <f>IF($H9=3,IF(OR($F9="DDV",$F9="DDG",$F9="DD"),'Fleet Tech - Tech'!N$3,IF($F9="CL",'Fleet Tech - Tech'!N$4,IF($F9="CA",'Fleet Tech - Tech'!N$5,IF($F9="BC",'Fleet Tech - Tech'!N$6,IF($F9="BB",'Fleet Tech - Tech'!N$7,IF($F9="CVL",'Fleet Tech - Tech'!N$8,IF($F9="CV",'Fleet Tech - Tech'!N$9,IF($F9="SS",'Fleet Tech - Tech'!N$10,IF($F9="BBV",'Fleet Tech - Tech'!N$11,IF($F9="CB",'Fleet Tech - Tech'!N$15,IF($F9="AE",'Fleet Tech - Tech'!N$16,IF($F9="IX",'Fleet Tech - Tech'!N$17,IF($F9="BM",'Fleet Tech - Tech'!N$13,IF($F9="AR",'Fleet Tech - Tech'!N$12,IF($F9="SSV",'Fleet Tech - Tech'!N$14,"nil"))))))))))))))),0)</f>
        <v>0</v>
      </c>
      <c r="BH9" s="28"/>
      <c r="BI9" s="12">
        <v>6389</v>
      </c>
      <c r="BJ9" s="12">
        <v>531</v>
      </c>
      <c r="BK9" s="12">
        <v>199</v>
      </c>
      <c r="BL9" s="28"/>
      <c r="BM9" s="12">
        <v>50</v>
      </c>
      <c r="BN9" s="28"/>
      <c r="BO9" s="28"/>
      <c r="BP9" s="28"/>
      <c r="BQ9" s="12">
        <v>24</v>
      </c>
      <c r="BR9" s="12">
        <v>15</v>
      </c>
      <c r="BS9" s="12">
        <v>115</v>
      </c>
      <c r="BT9" s="12">
        <v>32</v>
      </c>
      <c r="BU9" s="12">
        <v>106</v>
      </c>
      <c r="BV9" s="12">
        <v>335</v>
      </c>
      <c r="BW9" s="28"/>
      <c r="BX9" s="12">
        <v>4</v>
      </c>
      <c r="BY9" s="12">
        <v>10</v>
      </c>
      <c r="BZ9" s="12">
        <v>4</v>
      </c>
      <c r="CA9" s="12">
        <v>10</v>
      </c>
      <c r="CB9" s="12">
        <v>4</v>
      </c>
      <c r="CC9" s="12">
        <v>10</v>
      </c>
      <c r="CD9" s="12">
        <v>4</v>
      </c>
      <c r="CE9" s="12">
        <v>7</v>
      </c>
      <c r="CF9" s="12">
        <v>4</v>
      </c>
      <c r="CG9" s="12">
        <v>11</v>
      </c>
      <c r="CH9" s="12">
        <v>3</v>
      </c>
      <c r="CI9" s="12">
        <v>10</v>
      </c>
      <c r="CJ9" s="47"/>
      <c r="CK9" s="48">
        <f>IF(BX9=5,320,IF(BX9=4,195,IF(BX9=3,132,IF(BX9=2,90,IF(BX9=1,58,IF(BX9=-1,0,35))))))</f>
        <v>195</v>
      </c>
      <c r="CL9" s="48">
        <f>IF(BX9=5,20,IF(BX9=4,15,IF(BX9=3,12,IF(BX9=2,10,IF(BX9=1,8,IF(BX9=-1,0,5))))))</f>
        <v>15</v>
      </c>
      <c r="CM9" s="48">
        <f>IF(BZ9=5,320,IF(BZ9=4,195,IF(BZ9=3,132,IF(BZ9=2,90,IF(BZ9=1,58,IF(BZ9=-1,0,35))))))</f>
        <v>195</v>
      </c>
      <c r="CN9" s="48">
        <f>IF(BZ9=5,20,IF(BZ9=4,15,IF(BZ9=3,12,IF(BZ9=2,10,IF(BZ9=1,8,IF(BZ9=-1,0,5))))))</f>
        <v>15</v>
      </c>
      <c r="CO9" s="48">
        <f>IF(CB9=5,320,IF(CB9=4,195,IF(CB9=3,132,IF(CB9=2,90,IF(CB9=1,58,IF(CB9=-1,0,35))))))</f>
        <v>195</v>
      </c>
      <c r="CP9" s="48">
        <f>IF(CB9=5,20,IF(CB9=4,15,IF(CB9=3,12,IF(CB9=2,10,IF(CB9=1,8,IF(CB9=-1,0,5))))))</f>
        <v>15</v>
      </c>
      <c r="CQ9" s="48">
        <f>IF(CD9=5,320,IF(CD9=4,195,IF(CD9=3,132,IF(CD9=2,90,IF(CD9=1,58,IF(CD9=-1,0,35))))))</f>
        <v>195</v>
      </c>
      <c r="CR9" s="48">
        <f>IF(CD9=5,20,IF(CD9=4,15,IF(CD9=3,12,IF(CD9=2,10,IF(CD9=1,8,IF(CD9=-1,0,5))))))</f>
        <v>15</v>
      </c>
      <c r="CS9" s="48">
        <f>IF(CF9=5,320,IF(CF9=4,195,IF(CF9=3,132,IF(CF9=2,90,IF(CF9=1,58,IF(CF9=-1,0,35))))))</f>
        <v>195</v>
      </c>
      <c r="CT9" s="48">
        <f>IF(CF9=5,20,IF(CF9=4,15,IF(CF9=3,12,IF(CF9=2,10,IF(CF9=1,8,IF(CF9=-1,0,5))))))</f>
        <v>15</v>
      </c>
      <c r="CU9" s="48">
        <f>IF(CH9=5,320,IF(CH9=4,195,IF(CH9=3,132,IF(CH9=2,90,IF(CH9=1,58,IF(CH9=-1,0,35))))))</f>
        <v>132</v>
      </c>
      <c r="CV9" s="48">
        <f>IF(CH9=5,20,IF(CH9=4,15,IF(CH9=3,12,IF(CH9=2,10,IF(CH9=1,8,IF(CH9=-1,0,5))))))</f>
        <v>12</v>
      </c>
      <c r="CW9" s="48">
        <f>IF(BY9&gt;10,(BY9/10)-ROUNDDOWN(BY9/10,0),0)+IF(CA9&gt;10,(CA9/10)-ROUNDDOWN(CA9/10,0),0)+IF(CC9&gt;10,(CC9/10)-ROUNDDOWN(CC9/10,0),0)+IF(CE9&gt;10,(CE9/10)-ROUNDDOWN(CE9/10,0),0)+IF(CG9&gt;10,(CG9/10)-ROUNDDOWN(CG9/10,0),0)+IF(CI9&gt;10,(CI9/10)-ROUNDDOWN(CI9/10,0),0)</f>
        <v>0.1</v>
      </c>
      <c r="CX9" s="48">
        <f>1+(CW9/10)</f>
        <v>1.01</v>
      </c>
    </row>
    <row r="10" ht="20.05" customHeight="1">
      <c r="A10" t="s" s="43">
        <v>266</v>
      </c>
      <c r="B10" t="s" s="44">
        <v>267</v>
      </c>
      <c r="C10" t="s" s="45">
        <v>73</v>
      </c>
      <c r="D10" s="13">
        <v>1</v>
      </c>
      <c r="E10" t="s" s="15">
        <v>258</v>
      </c>
      <c r="F10" t="s" s="15">
        <v>268</v>
      </c>
      <c r="G10" t="s" s="15">
        <v>245</v>
      </c>
      <c r="H10" s="12">
        <v>3</v>
      </c>
      <c r="I10" t="s" s="15">
        <v>235</v>
      </c>
      <c r="J10" s="12">
        <v>98</v>
      </c>
      <c r="K10" t="s" s="14">
        <v>236</v>
      </c>
      <c r="L10" t="s" s="15">
        <v>237</v>
      </c>
      <c r="M10" t="s" s="15">
        <v>19</v>
      </c>
      <c r="N10" s="46">
        <f>ROUND((SUM(AA10,T10:Y10,AC10:AE10,Z10*10)-AB10*15)*(IF(K10="Heavy",0.15,IF(K10="Medium",0,IF(K10="Light",-0.15,10)))+1),0)</f>
        <v>1034</v>
      </c>
      <c r="O10" s="46">
        <v>3230</v>
      </c>
      <c r="P10" s="46">
        <f>ROUNDDOWN((BI10+AU10+AG10)/5,0)+(BJ10+AV10+AH10)+(BN10+AZ10+AL10)+(BO10+BA10+AM10)+(BK10+AW10+AI10)+(BS10+BE10+AQ10)+(BL10+AX10+AJ10)+(BQ10+BC10+AO10)+(2*((BT10+BF10+AR10)+(BU10+BG10+AS10)))+(CK10+CM10+CO10+CQ10+CS10+CU10)+(CL10*BY10)+(CN10*CA10)+(CP10+CC10)+(CR10+CE10)+(CT10+CG10)+(CV10+CI10)+BV10</f>
        <v>3708</v>
      </c>
      <c r="Q10" s="46">
        <f>ROUNDDOWN(((S10/5)+T10+X10+Y10+U10+AC10+V10+AA10+(2*(AD10+AE10))+CK10+CM10+CO10+CQ10+CS10+CU10+(CL10*BX10)+(CN10*BZ10)+(CP10*CB10)+(CR10*CD10)+(CT10*CF10)+(CV10*CH10))*CX10,0)</f>
        <v>3309</v>
      </c>
      <c r="R10" s="46">
        <f>ROUNDDOWN(AVERAGE(P10:Q10),0)</f>
        <v>3508</v>
      </c>
      <c r="S10" s="12">
        <f>AG10+AU10+BI10</f>
        <v>2023</v>
      </c>
      <c r="T10" s="12">
        <f>AH10+AV10+BJ10</f>
        <v>85</v>
      </c>
      <c r="U10" s="12">
        <f>AI10+AW10+BK10</f>
        <v>25</v>
      </c>
      <c r="V10" s="12">
        <f>AJ10+AX10+BL10</f>
        <v>245</v>
      </c>
      <c r="W10" s="12">
        <f>AK10+AY10+BM10</f>
        <v>19</v>
      </c>
      <c r="X10" s="12">
        <f>AL10+AZ10+BN10</f>
        <v>553</v>
      </c>
      <c r="Y10" s="12">
        <f>AM10+BA10+BO10</f>
        <v>0</v>
      </c>
      <c r="Z10" s="12">
        <f>AN10+BB10+BP10</f>
        <v>2</v>
      </c>
      <c r="AA10" s="12">
        <f>AO10+BC10+BQ10</f>
        <v>18</v>
      </c>
      <c r="AB10" s="12">
        <f>AP10+BD10+BR10</f>
        <v>7</v>
      </c>
      <c r="AC10" s="12">
        <f>AQ10+BE10+BS10</f>
        <v>124</v>
      </c>
      <c r="AD10" s="12">
        <f>AR10+BF10+BT10</f>
        <v>56</v>
      </c>
      <c r="AE10" s="12">
        <f>AS10+BG10+BU10</f>
        <v>177</v>
      </c>
      <c r="AF10" s="28"/>
      <c r="AG10" s="12">
        <v>0</v>
      </c>
      <c r="AH10" s="12">
        <v>27</v>
      </c>
      <c r="AI10" s="12">
        <v>25</v>
      </c>
      <c r="AJ10" s="12">
        <v>45</v>
      </c>
      <c r="AK10" s="12">
        <v>0</v>
      </c>
      <c r="AL10" s="12">
        <v>116</v>
      </c>
      <c r="AM10" s="12">
        <v>0</v>
      </c>
      <c r="AN10" s="12">
        <v>0</v>
      </c>
      <c r="AO10" s="12">
        <v>0</v>
      </c>
      <c r="AP10" s="12">
        <v>0</v>
      </c>
      <c r="AQ10" s="12">
        <v>35</v>
      </c>
      <c r="AR10" s="12">
        <v>0</v>
      </c>
      <c r="AS10" s="12">
        <v>13</v>
      </c>
      <c r="AT10" s="28"/>
      <c r="AU10" s="12">
        <f>IF($H10=3,IF(OR($F10="DDV",$F10="DDG",$F10="DD"),'Fleet Tech - Tech'!B$3,IF($F10="CL",'Fleet Tech - Tech'!B$4,IF($F10="CA",'Fleet Tech - Tech'!B$5,IF($F10="BC",'Fleet Tech - Tech'!B$6,IF($F10="BB",'Fleet Tech - Tech'!B$7,IF($F10="CVL",'Fleet Tech - Tech'!B$8,IF($F10="CV",'Fleet Tech - Tech'!B$9,IF($F10="SS",'Fleet Tech - Tech'!B$10,IF($F10="BBV",'Fleet Tech - Tech'!B$11,IF($F10="CB",'Fleet Tech - Tech'!B$15,IF($F10="AE",'Fleet Tech - Tech'!B$16,IF($F10="IX",'Fleet Tech - Tech'!B$17,IF($F10="BM",'Fleet Tech - Tech'!B$13,IF($F10="AR",'Fleet Tech - Tech'!B$12,IF($F10="SSV",'Fleet Tech - Tech'!B$14,"nil"))))))))))))))),0)</f>
        <v>35</v>
      </c>
      <c r="AV10" s="12">
        <f>IF($H10=3,IF(OR($F10="DDV",$F10="DDG",$F10="DD"),'Fleet Tech - Tech'!C$3,IF($F10="CL",'Fleet Tech - Tech'!C$4,IF($F10="CA",'Fleet Tech - Tech'!C$5,IF($F10="BC",'Fleet Tech - Tech'!C$6,IF($F10="BB",'Fleet Tech - Tech'!C$7,IF($F10="CVL",'Fleet Tech - Tech'!C$8,IF($F10="CV",'Fleet Tech - Tech'!C$9,IF($F10="SS",'Fleet Tech - Tech'!C$10,IF($F10="BBV",'Fleet Tech - Tech'!C$11,IF($F10="CB",'Fleet Tech - Tech'!C$15,IF($F10="AE",'Fleet Tech - Tech'!C$16,IF($F10="IX",'Fleet Tech - Tech'!C$17,IF($F10="BM",'Fleet Tech - Tech'!C$13,IF($F10="AR",'Fleet Tech - Tech'!C$12,IF($F10="SSV",'Fleet Tech - Tech'!C$14,"nil"))))))))))))))),0)</f>
        <v>2</v>
      </c>
      <c r="AW10" s="12">
        <f>IF($H10=3,IF(OR($F10="DDV",$F10="DDG",$F10="DD"),'Fleet Tech - Tech'!D$3,IF($F10="CL",'Fleet Tech - Tech'!D$4,IF($F10="CA",'Fleet Tech - Tech'!D$5,IF($F10="BC",'Fleet Tech - Tech'!D$6,IF($F10="BB",'Fleet Tech - Tech'!D$7,IF($F10="CVL",'Fleet Tech - Tech'!D$8,IF($F10="CV",'Fleet Tech - Tech'!D$9,IF($F10="SS",'Fleet Tech - Tech'!D$10,IF($F10="BBV",'Fleet Tech - Tech'!D$11,IF($F10="CB",'Fleet Tech - Tech'!D$15,IF($F10="AE",'Fleet Tech - Tech'!D$16,IF($F10="IX",'Fleet Tech - Tech'!D$17,IF($F10="BM",'Fleet Tech - Tech'!D$13,IF($F10="AR",'Fleet Tech - Tech'!D$12,IF($F10="SSV",'Fleet Tech - Tech'!D$14,"nil"))))))))))))))),0)</f>
        <v>0</v>
      </c>
      <c r="AX10" s="12">
        <f>IF($H10=3,IF(OR($F10="DDV",$F10="DDG",$F10="DD"),'Fleet Tech - Tech'!E$3,IF($F10="CL",'Fleet Tech - Tech'!E$4,IF($F10="CA",'Fleet Tech - Tech'!E$5,IF($F10="BC",'Fleet Tech - Tech'!E$6,IF($F10="BB",'Fleet Tech - Tech'!E$7,IF($F10="CVL",'Fleet Tech - Tech'!E$8,IF($F10="CV",'Fleet Tech - Tech'!E$9,IF($F10="SS",'Fleet Tech - Tech'!E$10,IF($F10="BBV",'Fleet Tech - Tech'!E$11,IF($F10="CB",'Fleet Tech - Tech'!E$15,IF($F10="AE",'Fleet Tech - Tech'!E$16,IF($F10="IX",'Fleet Tech - Tech'!E$17,IF($F10="BM",'Fleet Tech - Tech'!E$13,IF($F10="AR",'Fleet Tech - Tech'!E$12,IF($F10="SSV",'Fleet Tech - Tech'!E$14,"nil"))))))))))))))),0)</f>
        <v>0</v>
      </c>
      <c r="AY10" s="12">
        <f>IF($H10=3,IF(OR($F10="DDV",$F10="DDG",$F10="DD"),'Fleet Tech - Tech'!F$3,IF($F10="CL",'Fleet Tech - Tech'!F$4,IF($F10="CA",'Fleet Tech - Tech'!F$5,IF($F10="BC",'Fleet Tech - Tech'!F$6,IF($F10="BB",'Fleet Tech - Tech'!F$7,IF($F10="CVL",'Fleet Tech - Tech'!F$8,IF($F10="CV",'Fleet Tech - Tech'!F$9,IF($F10="SS",'Fleet Tech - Tech'!F$10,IF($F10="BBV",'Fleet Tech - Tech'!F$11,IF($F10="CB",'Fleet Tech - Tech'!F$15,IF($F10="AE",'Fleet Tech - Tech'!F$16,IF($F10="IX",'Fleet Tech - Tech'!F$17,IF($F10="BM",'Fleet Tech - Tech'!F$13,IF($F10="AR",'Fleet Tech - Tech'!F$12,IF($F10="SSV",'Fleet Tech - Tech'!F$14,"nil"))))))))))))))),0)</f>
        <v>0</v>
      </c>
      <c r="AZ10" s="12">
        <f>IF($H10=3,IF(OR($F10="DDV",$F10="DDG",$F10="DD"),'Fleet Tech - Tech'!G$3,IF($F10="CL",'Fleet Tech - Tech'!G$4,IF($F10="CA",'Fleet Tech - Tech'!G$5,IF($F10="BC",'Fleet Tech - Tech'!G$6,IF($F10="BB",'Fleet Tech - Tech'!G$7,IF($F10="CVL",'Fleet Tech - Tech'!G$8,IF($F10="CV",'Fleet Tech - Tech'!G$9,IF($F10="SS",'Fleet Tech - Tech'!G$10,IF($F10="BBV",'Fleet Tech - Tech'!G$11,IF($F10="CB",'Fleet Tech - Tech'!G$15,IF($F10="AE",'Fleet Tech - Tech'!G$16,IF($F10="IX",'Fleet Tech - Tech'!G$17,IF($F10="BM",'Fleet Tech - Tech'!G$13,IF($F10="AR",'Fleet Tech - Tech'!G$12,IF($F10="SSV",'Fleet Tech - Tech'!G$14,"nil"))))))))))))))),0)</f>
        <v>9</v>
      </c>
      <c r="BA10" s="12">
        <f>IF($H10=3,IF(OR($F10="DDV",$F10="DDG",$F10="DD"),'Fleet Tech - Tech'!H$3,IF($F10="CL",'Fleet Tech - Tech'!H$4,IF($F10="CA",'Fleet Tech - Tech'!H$5,IF($F10="BC",'Fleet Tech - Tech'!H$6,IF($F10="BB",'Fleet Tech - Tech'!H$7,IF($F10="CVL",'Fleet Tech - Tech'!H$8,IF($F10="CV",'Fleet Tech - Tech'!H$9,IF($F10="SS",'Fleet Tech - Tech'!H$10,IF($F10="BBV",'Fleet Tech - Tech'!H$11,IF($F10="CB",'Fleet Tech - Tech'!H$15,IF($F10="AE",'Fleet Tech - Tech'!H$16,IF($F10="IX",'Fleet Tech - Tech'!H$17,IF($F10="BM",'Fleet Tech - Tech'!H$13,IF($F10="AR",'Fleet Tech - Tech'!H$12,IF($F10="SSV",'Fleet Tech - Tech'!H$14,"nil"))))))))))))))),0)</f>
        <v>0</v>
      </c>
      <c r="BB10" s="12">
        <f>IF($H10=3,IF(OR($F10="DDV",$F10="DDG",$F10="DD"),'Fleet Tech - Tech'!I$3,IF($F10="CL",'Fleet Tech - Tech'!I$4,IF($F10="CA",'Fleet Tech - Tech'!I$5,IF($F10="BC",'Fleet Tech - Tech'!I$6,IF($F10="BB",'Fleet Tech - Tech'!I$7,IF($F10="CVL",'Fleet Tech - Tech'!I$8,IF($F10="CV",'Fleet Tech - Tech'!I$9,IF($F10="SS",'Fleet Tech - Tech'!I$10,IF($F10="BBV",'Fleet Tech - Tech'!I$11,IF($F10="CB",'Fleet Tech - Tech'!I$15,IF($F10="AE",'Fleet Tech - Tech'!I$16,IF($F10="IX",'Fleet Tech - Tech'!I$17,IF($F10="BM",'Fleet Tech - Tech'!I$13,IF($F10="AR",'Fleet Tech - Tech'!I$12,IF($F10="SSV",'Fleet Tech - Tech'!I$14,"nil"))))))))))))))),0)</f>
        <v>0</v>
      </c>
      <c r="BC10" s="12">
        <f>IF($H10=3,IF(OR($F10="DDV",$F10="DDG",$F10="DD"),'Fleet Tech - Tech'!J$3,IF($F10="CL",'Fleet Tech - Tech'!J$4,IF($F10="CA",'Fleet Tech - Tech'!J$5,IF($F10="BC",'Fleet Tech - Tech'!J$6,IF($F10="BB",'Fleet Tech - Tech'!J$7,IF($F10="CVL",'Fleet Tech - Tech'!J$8,IF($F10="CV",'Fleet Tech - Tech'!J$9,IF($F10="SS",'Fleet Tech - Tech'!J$10,IF($F10="BBV",'Fleet Tech - Tech'!J$11,IF($F10="CB",'Fleet Tech - Tech'!J$15,IF($F10="AE",'Fleet Tech - Tech'!J$16,IF($F10="IX",'Fleet Tech - Tech'!J$17,IF($F10="BM",'Fleet Tech - Tech'!J$13,IF($F10="AR",'Fleet Tech - Tech'!J$12,IF($F10="SSV",'Fleet Tech - Tech'!J$14,"nil"))))))))))))))),0)</f>
        <v>0</v>
      </c>
      <c r="BD10" s="12">
        <f>IF($H10=3,IF(OR($F10="DDV",$F10="DDG",$F10="DD"),'Fleet Tech - Tech'!K$3,IF($F10="CL",'Fleet Tech - Tech'!K$4,IF($F10="CA",'Fleet Tech - Tech'!K$5,IF($F10="BC",'Fleet Tech - Tech'!K$6,IF($F10="BB",'Fleet Tech - Tech'!K$7,IF($F10="CVL",'Fleet Tech - Tech'!K$8,IF($F10="CV",'Fleet Tech - Tech'!K$9,IF($F10="SS",'Fleet Tech - Tech'!K$10,IF($F10="BBV",'Fleet Tech - Tech'!K$11,IF($F10="CB",'Fleet Tech - Tech'!K$15,IF($F10="AE",'Fleet Tech - Tech'!K$16,IF($F10="IX",'Fleet Tech - Tech'!K$17,IF($F10="BM",'Fleet Tech - Tech'!K$13,IF($F10="AR",'Fleet Tech - Tech'!K$12,IF($F10="SSV",'Fleet Tech - Tech'!K$14,"nil"))))))))))))))),0)</f>
        <v>0</v>
      </c>
      <c r="BE10" s="12">
        <f>IF($H10=3,IF(OR($F10="DDV",$F10="DDG",$F10="DD"),'Fleet Tech - Tech'!L$3,IF($F10="CL",'Fleet Tech - Tech'!L$4,IF($F10="CA",'Fleet Tech - Tech'!L$5,IF($F10="BC",'Fleet Tech - Tech'!L$6,IF($F10="BB",'Fleet Tech - Tech'!L$7,IF($F10="CVL",'Fleet Tech - Tech'!L$8,IF($F10="CV",'Fleet Tech - Tech'!L$9,IF($F10="SS",'Fleet Tech - Tech'!L$10,IF($F10="BBV",'Fleet Tech - Tech'!L$11,IF($F10="CB",'Fleet Tech - Tech'!L$15,IF($F10="AE",'Fleet Tech - Tech'!L$16,IF($F10="IX",'Fleet Tech - Tech'!L$17,IF($F10="BM",'Fleet Tech - Tech'!L$13,IF($F10="AR",'Fleet Tech - Tech'!L$12,IF($F10="SSV",'Fleet Tech - Tech'!L$14,"nil"))))))))))))))),0)</f>
        <v>0</v>
      </c>
      <c r="BF10" s="12">
        <f>IF($H10=3,IF(OR($F10="DDV",$F10="DDG",$F10="DD"),'Fleet Tech - Tech'!M$3,IF($F10="CL",'Fleet Tech - Tech'!M$4,IF($F10="CA",'Fleet Tech - Tech'!M$5,IF($F10="BC",'Fleet Tech - Tech'!M$6,IF($F10="BB",'Fleet Tech - Tech'!M$7,IF($F10="CVL",'Fleet Tech - Tech'!M$8,IF($F10="CV",'Fleet Tech - Tech'!M$9,IF($F10="SS",'Fleet Tech - Tech'!M$10,IF($F10="BBV",'Fleet Tech - Tech'!M$11,IF($F10="CB",'Fleet Tech - Tech'!M$15,IF($F10="AE",'Fleet Tech - Tech'!M$16,IF($F10="IX",'Fleet Tech - Tech'!M$17,IF($F10="BM",'Fleet Tech - Tech'!M$13,IF($F10="AR",'Fleet Tech - Tech'!M$12,IF($F10="SSV",'Fleet Tech - Tech'!M$14,"nil"))))))))))))))),0)</f>
        <v>17</v>
      </c>
      <c r="BG10" s="12">
        <f>IF($H10=3,IF(OR($F10="DDV",$F10="DDG",$F10="DD"),'Fleet Tech - Tech'!N$3,IF($F10="CL",'Fleet Tech - Tech'!N$4,IF($F10="CA",'Fleet Tech - Tech'!N$5,IF($F10="BC",'Fleet Tech - Tech'!N$6,IF($F10="BB",'Fleet Tech - Tech'!N$7,IF($F10="CVL",'Fleet Tech - Tech'!N$8,IF($F10="CV",'Fleet Tech - Tech'!N$9,IF($F10="SS",'Fleet Tech - Tech'!N$10,IF($F10="BBV",'Fleet Tech - Tech'!N$11,IF($F10="CB",'Fleet Tech - Tech'!N$15,IF($F10="AE",'Fleet Tech - Tech'!N$16,IF($F10="IX",'Fleet Tech - Tech'!N$17,IF($F10="BM",'Fleet Tech - Tech'!N$13,IF($F10="AR",'Fleet Tech - Tech'!N$12,IF($F10="SSV",'Fleet Tech - Tech'!N$14,"nil"))))))))))))))),0)</f>
        <v>10</v>
      </c>
      <c r="BH10" s="28"/>
      <c r="BI10" s="12">
        <v>1988</v>
      </c>
      <c r="BJ10" s="12">
        <v>56</v>
      </c>
      <c r="BK10" s="12">
        <v>0</v>
      </c>
      <c r="BL10" s="12">
        <v>200</v>
      </c>
      <c r="BM10" s="12">
        <v>19</v>
      </c>
      <c r="BN10" s="12">
        <v>428</v>
      </c>
      <c r="BO10" s="12">
        <v>0</v>
      </c>
      <c r="BP10" s="12">
        <v>2</v>
      </c>
      <c r="BQ10" s="12">
        <v>18</v>
      </c>
      <c r="BR10" s="12">
        <v>7</v>
      </c>
      <c r="BS10" s="12">
        <v>89</v>
      </c>
      <c r="BT10" s="12">
        <v>39</v>
      </c>
      <c r="BU10" s="12">
        <v>154</v>
      </c>
      <c r="BV10" s="12">
        <v>335</v>
      </c>
      <c r="BW10" s="28"/>
      <c r="BX10" s="12">
        <v>4</v>
      </c>
      <c r="BY10" s="12">
        <v>10</v>
      </c>
      <c r="BZ10" s="12">
        <v>4</v>
      </c>
      <c r="CA10" s="12">
        <v>11</v>
      </c>
      <c r="CB10" s="12">
        <v>4</v>
      </c>
      <c r="CC10" s="12">
        <v>10</v>
      </c>
      <c r="CD10" s="12">
        <v>3</v>
      </c>
      <c r="CE10" s="12">
        <v>10</v>
      </c>
      <c r="CF10" s="12">
        <v>3</v>
      </c>
      <c r="CG10" s="12">
        <v>10</v>
      </c>
      <c r="CH10" s="12">
        <v>4</v>
      </c>
      <c r="CI10" s="12">
        <v>10</v>
      </c>
      <c r="CJ10" s="47"/>
      <c r="CK10" s="48">
        <f>IF(BX10=5,320,IF(BX10=4,195,IF(BX10=3,132,IF(BX10=2,90,IF(BX10=1,58,IF(BX10=-1,0,35))))))</f>
        <v>195</v>
      </c>
      <c r="CL10" s="48">
        <f>IF(BX10=5,20,IF(BX10=4,15,IF(BX10=3,12,IF(BX10=2,10,IF(BX10=1,8,IF(BX10=-1,0,5))))))</f>
        <v>15</v>
      </c>
      <c r="CM10" s="48">
        <f>IF(BZ10=5,320,IF(BZ10=4,195,IF(BZ10=3,132,IF(BZ10=2,90,IF(BZ10=1,58,IF(BZ10=-1,0,35))))))</f>
        <v>195</v>
      </c>
      <c r="CN10" s="48">
        <f>IF(BZ10=5,20,IF(BZ10=4,15,IF(BZ10=3,12,IF(BZ10=2,10,IF(BZ10=1,8,IF(BZ10=-1,0,5))))))</f>
        <v>15</v>
      </c>
      <c r="CO10" s="48">
        <f>IF(CB10=5,320,IF(CB10=4,195,IF(CB10=3,132,IF(CB10=2,90,IF(CB10=1,58,IF(CB10=-1,0,35))))))</f>
        <v>195</v>
      </c>
      <c r="CP10" s="48">
        <f>IF(CB10=5,20,IF(CB10=4,15,IF(CB10=3,12,IF(CB10=2,10,IF(CB10=1,8,IF(CB10=-1,0,5))))))</f>
        <v>15</v>
      </c>
      <c r="CQ10" s="48">
        <f>IF(CD10=5,320,IF(CD10=4,195,IF(CD10=3,132,IF(CD10=2,90,IF(CD10=1,58,IF(CD10=-1,0,35))))))</f>
        <v>132</v>
      </c>
      <c r="CR10" s="48">
        <f>IF(CD10=5,20,IF(CD10=4,15,IF(CD10=3,12,IF(CD10=2,10,IF(CD10=1,8,IF(CD10=-1,0,5))))))</f>
        <v>12</v>
      </c>
      <c r="CS10" s="48">
        <f>IF(CF10=5,320,IF(CF10=4,195,IF(CF10=3,132,IF(CF10=2,90,IF(CF10=1,58,IF(CF10=-1,0,35))))))</f>
        <v>132</v>
      </c>
      <c r="CT10" s="48">
        <f>IF(CF10=5,20,IF(CF10=4,15,IF(CF10=3,12,IF(CF10=2,10,IF(CF10=1,8,IF(CF10=-1,0,5))))))</f>
        <v>12</v>
      </c>
      <c r="CU10" s="48">
        <f>IF(CH10=5,320,IF(CH10=4,195,IF(CH10=3,132,IF(CH10=2,90,IF(CH10=1,58,IF(CH10=-1,0,35))))))</f>
        <v>195</v>
      </c>
      <c r="CV10" s="48">
        <f>IF(CH10=5,20,IF(CH10=4,15,IF(CH10=3,12,IF(CH10=2,10,IF(CH10=1,8,IF(CH10=-1,0,5))))))</f>
        <v>15</v>
      </c>
      <c r="CW10" s="48">
        <f>IF(BY10&gt;10,(BY10/10)-ROUNDDOWN(BY10/10,0),0)+IF(CA10&gt;10,(CA10/10)-ROUNDDOWN(CA10/10,0),0)+IF(CC10&gt;10,(CC10/10)-ROUNDDOWN(CC10/10,0),0)+IF(CE10&gt;10,(CE10/10)-ROUNDDOWN(CE10/10,0),0)+IF(CG10&gt;10,(CG10/10)-ROUNDDOWN(CG10/10,0),0)+IF(CI10&gt;10,(CI10/10)-ROUNDDOWN(CI10/10,0),0)</f>
        <v>0.1</v>
      </c>
      <c r="CX10" s="48">
        <f>1+(CW10/10)</f>
        <v>1.01</v>
      </c>
    </row>
    <row r="11" ht="20.05" customHeight="1">
      <c r="A11" t="s" s="43">
        <v>269</v>
      </c>
      <c r="B11" s="49"/>
      <c r="C11" t="s" s="45">
        <v>73</v>
      </c>
      <c r="D11" s="13">
        <v>1</v>
      </c>
      <c r="E11" t="s" s="15">
        <v>258</v>
      </c>
      <c r="F11" t="s" s="15">
        <v>268</v>
      </c>
      <c r="G11" t="s" s="15">
        <v>253</v>
      </c>
      <c r="H11" s="12">
        <v>2</v>
      </c>
      <c r="I11" t="s" s="15">
        <v>235</v>
      </c>
      <c r="J11" s="12">
        <v>90</v>
      </c>
      <c r="K11" t="s" s="14">
        <v>236</v>
      </c>
      <c r="L11" t="s" s="15">
        <v>237</v>
      </c>
      <c r="M11" t="s" s="15">
        <v>19</v>
      </c>
      <c r="N11" s="46">
        <f>ROUND((SUM(AA11,T11:Y11,AC11:AE11,Z11*10)-AB11*15)*(IF(K11="Heavy",0.15,IF(K11="Medium",0,IF(K11="Light",-0.15,10)))+1),0)</f>
        <v>807</v>
      </c>
      <c r="O11" s="46">
        <v>2707</v>
      </c>
      <c r="P11" s="46">
        <f>ROUNDDOWN((BI11+AU11+AG11)/5,0)+(BJ11+AV11+AH11)+(BN11+AZ11+AL11)+(BO11+BA11+AM11)+(BK11+AW11+AI11)+(BS11+BE11+AQ11)+(BL11+AX11+AJ11)+(BQ11+BC11+AO11)+(2*((BT11+BF11+AR11)+(BU11+BG11+AS11)))+(CK11+CM11+CO11+CQ11+CS11+CU11)+(CL11*BY11)+(CN11*CA11)+(CP11+CC11)+(CR11+CE11)+(CT11+CG11)+(CV11+CI11)+BV11</f>
        <v>2976</v>
      </c>
      <c r="Q11" s="46">
        <f>ROUNDDOWN(((S11/5)+T11+X11+Y11+U11+AC11+V11+AA11+(2*(AD11+AE11))+CK11+CM11+CO11+CQ11+CS11+CU11+(CL11*BX11)+(CN11*BZ11)+(CP11*CB11)+(CR11*CD11)+(CT11*CF11)+(CV11*CH11))*CX11,0)</f>
        <v>2604</v>
      </c>
      <c r="R11" s="46">
        <f>ROUNDDOWN(AVERAGE(P11:Q11),0)</f>
        <v>2790</v>
      </c>
      <c r="S11" s="12">
        <f>AG11+AU11+BI11</f>
        <v>1453</v>
      </c>
      <c r="T11" s="12">
        <f>AH11+AV11+BJ11</f>
        <v>59</v>
      </c>
      <c r="U11" s="12">
        <f>AI11+AW11+BK11</f>
        <v>30</v>
      </c>
      <c r="V11" s="12">
        <f>AJ11+AX11+BL11</f>
        <v>195</v>
      </c>
      <c r="W11" s="12">
        <f>AK11+AY11+BM11</f>
        <v>22</v>
      </c>
      <c r="X11" s="12">
        <f>AL11+AZ11+BN11</f>
        <v>379</v>
      </c>
      <c r="Y11" s="12">
        <f>AM11+BA11+BO11</f>
        <v>0</v>
      </c>
      <c r="Z11" s="12">
        <f>AN11+BB11+BP11</f>
        <v>2</v>
      </c>
      <c r="AA11" s="12">
        <f>AO11+BC11+BQ11</f>
        <v>18</v>
      </c>
      <c r="AB11" s="12">
        <f>AP11+BD11+BR11</f>
        <v>6</v>
      </c>
      <c r="AC11" s="12">
        <f>AQ11+BE11+BS11</f>
        <v>100</v>
      </c>
      <c r="AD11" s="12">
        <f>AR11+BF11+BT11</f>
        <v>45</v>
      </c>
      <c r="AE11" s="12">
        <f>AS11+BG11+BU11</f>
        <v>171</v>
      </c>
      <c r="AF11" s="28"/>
      <c r="AG11" s="12">
        <v>0</v>
      </c>
      <c r="AH11" s="12">
        <v>21</v>
      </c>
      <c r="AI11" s="12">
        <v>30</v>
      </c>
      <c r="AJ11" s="12">
        <v>0</v>
      </c>
      <c r="AK11" s="12">
        <v>0</v>
      </c>
      <c r="AL11" s="12">
        <v>70</v>
      </c>
      <c r="AM11" s="12">
        <v>0</v>
      </c>
      <c r="AN11" s="12">
        <v>0</v>
      </c>
      <c r="AO11" s="12">
        <v>0</v>
      </c>
      <c r="AP11" s="12">
        <v>0</v>
      </c>
      <c r="AQ11" s="12">
        <v>28</v>
      </c>
      <c r="AR11" s="12">
        <v>11</v>
      </c>
      <c r="AS11" s="12">
        <v>26</v>
      </c>
      <c r="AT11" s="28"/>
      <c r="AU11" s="12">
        <f>IF($H11=3,IF(OR($F11="DDV",$F11="DDG",$F11="DD"),'Fleet Tech - Tech'!B$3,IF($F11="CL",'Fleet Tech - Tech'!B$4,IF($F11="CA",'Fleet Tech - Tech'!B$5,IF($F11="BC",'Fleet Tech - Tech'!B$6,IF($F11="BB",'Fleet Tech - Tech'!B$7,IF($F11="CVL",'Fleet Tech - Tech'!B$8,IF($F11="CV",'Fleet Tech - Tech'!B$9,IF($F11="SS",'Fleet Tech - Tech'!B$10,IF($F11="BBV",'Fleet Tech - Tech'!B$11,IF($F11="CB",'Fleet Tech - Tech'!B$15,IF($F11="AE",'Fleet Tech - Tech'!B$16,IF($F11="IX",'Fleet Tech - Tech'!B$17,IF($F11="BM",'Fleet Tech - Tech'!B$13,IF($F11="AR",'Fleet Tech - Tech'!B$12,IF($F11="SSV",'Fleet Tech - Tech'!B$14,"nil"))))))))))))))),0)</f>
        <v>0</v>
      </c>
      <c r="AV11" s="12">
        <f>IF($H11=3,IF(OR($F11="DDV",$F11="DDG",$F11="DD"),'Fleet Tech - Tech'!C$3,IF($F11="CL",'Fleet Tech - Tech'!C$4,IF($F11="CA",'Fleet Tech - Tech'!C$5,IF($F11="BC",'Fleet Tech - Tech'!C$6,IF($F11="BB",'Fleet Tech - Tech'!C$7,IF($F11="CVL",'Fleet Tech - Tech'!C$8,IF($F11="CV",'Fleet Tech - Tech'!C$9,IF($F11="SS",'Fleet Tech - Tech'!C$10,IF($F11="BBV",'Fleet Tech - Tech'!C$11,IF($F11="CB",'Fleet Tech - Tech'!C$15,IF($F11="AE",'Fleet Tech - Tech'!C$16,IF($F11="IX",'Fleet Tech - Tech'!C$17,IF($F11="BM",'Fleet Tech - Tech'!C$13,IF($F11="AR",'Fleet Tech - Tech'!C$12,IF($F11="SSV",'Fleet Tech - Tech'!C$14,"nil"))))))))))))))),0)</f>
        <v>0</v>
      </c>
      <c r="AW11" s="12">
        <f>IF($H11=3,IF(OR($F11="DDV",$F11="DDG",$F11="DD"),'Fleet Tech - Tech'!D$3,IF($F11="CL",'Fleet Tech - Tech'!D$4,IF($F11="CA",'Fleet Tech - Tech'!D$5,IF($F11="BC",'Fleet Tech - Tech'!D$6,IF($F11="BB",'Fleet Tech - Tech'!D$7,IF($F11="CVL",'Fleet Tech - Tech'!D$8,IF($F11="CV",'Fleet Tech - Tech'!D$9,IF($F11="SS",'Fleet Tech - Tech'!D$10,IF($F11="BBV",'Fleet Tech - Tech'!D$11,IF($F11="CB",'Fleet Tech - Tech'!D$15,IF($F11="AE",'Fleet Tech - Tech'!D$16,IF($F11="IX",'Fleet Tech - Tech'!D$17,IF($F11="BM",'Fleet Tech - Tech'!D$13,IF($F11="AR",'Fleet Tech - Tech'!D$12,IF($F11="SSV",'Fleet Tech - Tech'!D$14,"nil"))))))))))))))),0)</f>
        <v>0</v>
      </c>
      <c r="AX11" s="12">
        <f>IF($H11=3,IF(OR($F11="DDV",$F11="DDG",$F11="DD"),'Fleet Tech - Tech'!E$3,IF($F11="CL",'Fleet Tech - Tech'!E$4,IF($F11="CA",'Fleet Tech - Tech'!E$5,IF($F11="BC",'Fleet Tech - Tech'!E$6,IF($F11="BB",'Fleet Tech - Tech'!E$7,IF($F11="CVL",'Fleet Tech - Tech'!E$8,IF($F11="CV",'Fleet Tech - Tech'!E$9,IF($F11="SS",'Fleet Tech - Tech'!E$10,IF($F11="BBV",'Fleet Tech - Tech'!E$11,IF($F11="CB",'Fleet Tech - Tech'!E$15,IF($F11="AE",'Fleet Tech - Tech'!E$16,IF($F11="IX",'Fleet Tech - Tech'!E$17,IF($F11="BM",'Fleet Tech - Tech'!E$13,IF($F11="AR",'Fleet Tech - Tech'!E$12,IF($F11="SSV",'Fleet Tech - Tech'!E$14,"nil"))))))))))))))),0)</f>
        <v>0</v>
      </c>
      <c r="AY11" s="12">
        <f>IF($H11=3,IF(OR($F11="DDV",$F11="DDG",$F11="DD"),'Fleet Tech - Tech'!F$3,IF($F11="CL",'Fleet Tech - Tech'!F$4,IF($F11="CA",'Fleet Tech - Tech'!F$5,IF($F11="BC",'Fleet Tech - Tech'!F$6,IF($F11="BB",'Fleet Tech - Tech'!F$7,IF($F11="CVL",'Fleet Tech - Tech'!F$8,IF($F11="CV",'Fleet Tech - Tech'!F$9,IF($F11="SS",'Fleet Tech - Tech'!F$10,IF($F11="BBV",'Fleet Tech - Tech'!F$11,IF($F11="CB",'Fleet Tech - Tech'!F$15,IF($F11="AE",'Fleet Tech - Tech'!F$16,IF($F11="IX",'Fleet Tech - Tech'!F$17,IF($F11="BM",'Fleet Tech - Tech'!F$13,IF($F11="AR",'Fleet Tech - Tech'!F$12,IF($F11="SSV",'Fleet Tech - Tech'!F$14,"nil"))))))))))))))),0)</f>
        <v>0</v>
      </c>
      <c r="AZ11" s="12">
        <f>IF($H11=3,IF(OR($F11="DDV",$F11="DDG",$F11="DD"),'Fleet Tech - Tech'!G$3,IF($F11="CL",'Fleet Tech - Tech'!G$4,IF($F11="CA",'Fleet Tech - Tech'!G$5,IF($F11="BC",'Fleet Tech - Tech'!G$6,IF($F11="BB",'Fleet Tech - Tech'!G$7,IF($F11="CVL",'Fleet Tech - Tech'!G$8,IF($F11="CV",'Fleet Tech - Tech'!G$9,IF($F11="SS",'Fleet Tech - Tech'!G$10,IF($F11="BBV",'Fleet Tech - Tech'!G$11,IF($F11="CB",'Fleet Tech - Tech'!G$15,IF($F11="AE",'Fleet Tech - Tech'!G$16,IF($F11="IX",'Fleet Tech - Tech'!G$17,IF($F11="BM",'Fleet Tech - Tech'!G$13,IF($F11="AR",'Fleet Tech - Tech'!G$12,IF($F11="SSV",'Fleet Tech - Tech'!G$14,"nil"))))))))))))))),0)</f>
        <v>0</v>
      </c>
      <c r="BA11" s="12">
        <f>IF($H11=3,IF(OR($F11="DDV",$F11="DDG",$F11="DD"),'Fleet Tech - Tech'!H$3,IF($F11="CL",'Fleet Tech - Tech'!H$4,IF($F11="CA",'Fleet Tech - Tech'!H$5,IF($F11="BC",'Fleet Tech - Tech'!H$6,IF($F11="BB",'Fleet Tech - Tech'!H$7,IF($F11="CVL",'Fleet Tech - Tech'!H$8,IF($F11="CV",'Fleet Tech - Tech'!H$9,IF($F11="SS",'Fleet Tech - Tech'!H$10,IF($F11="BBV",'Fleet Tech - Tech'!H$11,IF($F11="CB",'Fleet Tech - Tech'!H$15,IF($F11="AE",'Fleet Tech - Tech'!H$16,IF($F11="IX",'Fleet Tech - Tech'!H$17,IF($F11="BM",'Fleet Tech - Tech'!H$13,IF($F11="AR",'Fleet Tech - Tech'!H$12,IF($F11="SSV",'Fleet Tech - Tech'!H$14,"nil"))))))))))))))),0)</f>
        <v>0</v>
      </c>
      <c r="BB11" s="12">
        <f>IF($H11=3,IF(OR($F11="DDV",$F11="DDG",$F11="DD"),'Fleet Tech - Tech'!I$3,IF($F11="CL",'Fleet Tech - Tech'!I$4,IF($F11="CA",'Fleet Tech - Tech'!I$5,IF($F11="BC",'Fleet Tech - Tech'!I$6,IF($F11="BB",'Fleet Tech - Tech'!I$7,IF($F11="CVL",'Fleet Tech - Tech'!I$8,IF($F11="CV",'Fleet Tech - Tech'!I$9,IF($F11="SS",'Fleet Tech - Tech'!I$10,IF($F11="BBV",'Fleet Tech - Tech'!I$11,IF($F11="CB",'Fleet Tech - Tech'!I$15,IF($F11="AE",'Fleet Tech - Tech'!I$16,IF($F11="IX",'Fleet Tech - Tech'!I$17,IF($F11="BM",'Fleet Tech - Tech'!I$13,IF($F11="AR",'Fleet Tech - Tech'!I$12,IF($F11="SSV",'Fleet Tech - Tech'!I$14,"nil"))))))))))))))),0)</f>
        <v>0</v>
      </c>
      <c r="BC11" s="12">
        <f>IF($H11=3,IF(OR($F11="DDV",$F11="DDG",$F11="DD"),'Fleet Tech - Tech'!J$3,IF($F11="CL",'Fleet Tech - Tech'!J$4,IF($F11="CA",'Fleet Tech - Tech'!J$5,IF($F11="BC",'Fleet Tech - Tech'!J$6,IF($F11="BB",'Fleet Tech - Tech'!J$7,IF($F11="CVL",'Fleet Tech - Tech'!J$8,IF($F11="CV",'Fleet Tech - Tech'!J$9,IF($F11="SS",'Fleet Tech - Tech'!J$10,IF($F11="BBV",'Fleet Tech - Tech'!J$11,IF($F11="CB",'Fleet Tech - Tech'!J$15,IF($F11="AE",'Fleet Tech - Tech'!J$16,IF($F11="IX",'Fleet Tech - Tech'!J$17,IF($F11="BM",'Fleet Tech - Tech'!J$13,IF($F11="AR",'Fleet Tech - Tech'!J$12,IF($F11="SSV",'Fleet Tech - Tech'!J$14,"nil"))))))))))))))),0)</f>
        <v>0</v>
      </c>
      <c r="BD11" s="12">
        <f>IF($H11=3,IF(OR($F11="DDV",$F11="DDG",$F11="DD"),'Fleet Tech - Tech'!K$3,IF($F11="CL",'Fleet Tech - Tech'!K$4,IF($F11="CA",'Fleet Tech - Tech'!K$5,IF($F11="BC",'Fleet Tech - Tech'!K$6,IF($F11="BB",'Fleet Tech - Tech'!K$7,IF($F11="CVL",'Fleet Tech - Tech'!K$8,IF($F11="CV",'Fleet Tech - Tech'!K$9,IF($F11="SS",'Fleet Tech - Tech'!K$10,IF($F11="BBV",'Fleet Tech - Tech'!K$11,IF($F11="CB",'Fleet Tech - Tech'!K$15,IF($F11="AE",'Fleet Tech - Tech'!K$16,IF($F11="IX",'Fleet Tech - Tech'!K$17,IF($F11="BM",'Fleet Tech - Tech'!K$13,IF($F11="AR",'Fleet Tech - Tech'!K$12,IF($F11="SSV",'Fleet Tech - Tech'!K$14,"nil"))))))))))))))),0)</f>
        <v>0</v>
      </c>
      <c r="BE11" s="12">
        <f>IF($H11=3,IF(OR($F11="DDV",$F11="DDG",$F11="DD"),'Fleet Tech - Tech'!L$3,IF($F11="CL",'Fleet Tech - Tech'!L$4,IF($F11="CA",'Fleet Tech - Tech'!L$5,IF($F11="BC",'Fleet Tech - Tech'!L$6,IF($F11="BB",'Fleet Tech - Tech'!L$7,IF($F11="CVL",'Fleet Tech - Tech'!L$8,IF($F11="CV",'Fleet Tech - Tech'!L$9,IF($F11="SS",'Fleet Tech - Tech'!L$10,IF($F11="BBV",'Fleet Tech - Tech'!L$11,IF($F11="CB",'Fleet Tech - Tech'!L$15,IF($F11="AE",'Fleet Tech - Tech'!L$16,IF($F11="IX",'Fleet Tech - Tech'!L$17,IF($F11="BM",'Fleet Tech - Tech'!L$13,IF($F11="AR",'Fleet Tech - Tech'!L$12,IF($F11="SSV",'Fleet Tech - Tech'!L$14,"nil"))))))))))))))),0)</f>
        <v>0</v>
      </c>
      <c r="BF11" s="12">
        <f>IF($H11=3,IF(OR($F11="DDV",$F11="DDG",$F11="DD"),'Fleet Tech - Tech'!M$3,IF($F11="CL",'Fleet Tech - Tech'!M$4,IF($F11="CA",'Fleet Tech - Tech'!M$5,IF($F11="BC",'Fleet Tech - Tech'!M$6,IF($F11="BB",'Fleet Tech - Tech'!M$7,IF($F11="CVL",'Fleet Tech - Tech'!M$8,IF($F11="CV",'Fleet Tech - Tech'!M$9,IF($F11="SS",'Fleet Tech - Tech'!M$10,IF($F11="BBV",'Fleet Tech - Tech'!M$11,IF($F11="CB",'Fleet Tech - Tech'!M$15,IF($F11="AE",'Fleet Tech - Tech'!M$16,IF($F11="IX",'Fleet Tech - Tech'!M$17,IF($F11="BM",'Fleet Tech - Tech'!M$13,IF($F11="AR",'Fleet Tech - Tech'!M$12,IF($F11="SSV",'Fleet Tech - Tech'!M$14,"nil"))))))))))))))),0)</f>
        <v>0</v>
      </c>
      <c r="BG11" s="12">
        <f>IF($H11=3,IF(OR($F11="DDV",$F11="DDG",$F11="DD"),'Fleet Tech - Tech'!N$3,IF($F11="CL",'Fleet Tech - Tech'!N$4,IF($F11="CA",'Fleet Tech - Tech'!N$5,IF($F11="BC",'Fleet Tech - Tech'!N$6,IF($F11="BB",'Fleet Tech - Tech'!N$7,IF($F11="CVL",'Fleet Tech - Tech'!N$8,IF($F11="CV",'Fleet Tech - Tech'!N$9,IF($F11="SS",'Fleet Tech - Tech'!N$10,IF($F11="BBV",'Fleet Tech - Tech'!N$11,IF($F11="CB",'Fleet Tech - Tech'!N$15,IF($F11="AE",'Fleet Tech - Tech'!N$16,IF($F11="IX",'Fleet Tech - Tech'!N$17,IF($F11="BM",'Fleet Tech - Tech'!N$13,IF($F11="AR",'Fleet Tech - Tech'!N$12,IF($F11="SSV",'Fleet Tech - Tech'!N$14,"nil"))))))))))))))),0)</f>
        <v>0</v>
      </c>
      <c r="BH11" s="28"/>
      <c r="BI11" s="12">
        <v>1453</v>
      </c>
      <c r="BJ11" s="12">
        <v>38</v>
      </c>
      <c r="BK11" s="12">
        <v>0</v>
      </c>
      <c r="BL11" s="12">
        <v>195</v>
      </c>
      <c r="BM11" s="12">
        <v>22</v>
      </c>
      <c r="BN11" s="12">
        <v>309</v>
      </c>
      <c r="BO11" s="12">
        <v>0</v>
      </c>
      <c r="BP11" s="12">
        <v>2</v>
      </c>
      <c r="BQ11" s="12">
        <v>18</v>
      </c>
      <c r="BR11" s="12">
        <v>6</v>
      </c>
      <c r="BS11" s="12">
        <v>72</v>
      </c>
      <c r="BT11" s="12">
        <v>34</v>
      </c>
      <c r="BU11" s="12">
        <v>145</v>
      </c>
      <c r="BV11" s="12">
        <v>335</v>
      </c>
      <c r="BW11" s="28"/>
      <c r="BX11" s="12">
        <v>4</v>
      </c>
      <c r="BY11" s="12">
        <v>7</v>
      </c>
      <c r="BZ11" s="12">
        <v>3</v>
      </c>
      <c r="CA11" s="12">
        <v>10</v>
      </c>
      <c r="CB11" s="12">
        <v>4</v>
      </c>
      <c r="CC11" s="12">
        <v>10</v>
      </c>
      <c r="CD11" s="12">
        <v>4</v>
      </c>
      <c r="CE11" s="12">
        <v>6</v>
      </c>
      <c r="CF11" s="12">
        <v>3</v>
      </c>
      <c r="CG11" s="12">
        <v>7</v>
      </c>
      <c r="CH11" s="12">
        <v>-1</v>
      </c>
      <c r="CI11" s="12">
        <v>-1</v>
      </c>
      <c r="CJ11" s="47"/>
      <c r="CK11" s="48">
        <f>IF(BX11=5,320,IF(BX11=4,195,IF(BX11=3,132,IF(BX11=2,90,IF(BX11=1,58,IF(BX11=-1,0,35))))))</f>
        <v>195</v>
      </c>
      <c r="CL11" s="48">
        <f>IF(BX11=5,20,IF(BX11=4,15,IF(BX11=3,12,IF(BX11=2,10,IF(BX11=1,8,IF(BX11=-1,0,5))))))</f>
        <v>15</v>
      </c>
      <c r="CM11" s="48">
        <f>IF(BZ11=5,320,IF(BZ11=4,195,IF(BZ11=3,132,IF(BZ11=2,90,IF(BZ11=1,58,IF(BZ11=-1,0,35))))))</f>
        <v>132</v>
      </c>
      <c r="CN11" s="48">
        <f>IF(BZ11=5,20,IF(BZ11=4,15,IF(BZ11=3,12,IF(BZ11=2,10,IF(BZ11=1,8,IF(BZ11=-1,0,5))))))</f>
        <v>12</v>
      </c>
      <c r="CO11" s="48">
        <f>IF(CB11=5,320,IF(CB11=4,195,IF(CB11=3,132,IF(CB11=2,90,IF(CB11=1,58,IF(CB11=-1,0,35))))))</f>
        <v>195</v>
      </c>
      <c r="CP11" s="48">
        <f>IF(CB11=5,20,IF(CB11=4,15,IF(CB11=3,12,IF(CB11=2,10,IF(CB11=1,8,IF(CB11=-1,0,5))))))</f>
        <v>15</v>
      </c>
      <c r="CQ11" s="48">
        <f>IF(CD11=5,320,IF(CD11=4,195,IF(CD11=3,132,IF(CD11=2,90,IF(CD11=1,58,IF(CD11=-1,0,35))))))</f>
        <v>195</v>
      </c>
      <c r="CR11" s="48">
        <f>IF(CD11=5,20,IF(CD11=4,15,IF(CD11=3,12,IF(CD11=2,10,IF(CD11=1,8,IF(CD11=-1,0,5))))))</f>
        <v>15</v>
      </c>
      <c r="CS11" s="48">
        <f>IF(CF11=5,320,IF(CF11=4,195,IF(CF11=3,132,IF(CF11=2,90,IF(CF11=1,58,IF(CF11=-1,0,35))))))</f>
        <v>132</v>
      </c>
      <c r="CT11" s="48">
        <f>IF(CF11=5,20,IF(CF11=4,15,IF(CF11=3,12,IF(CF11=2,10,IF(CF11=1,8,IF(CF11=-1,0,5))))))</f>
        <v>12</v>
      </c>
      <c r="CU11" s="48">
        <f>IF(CH11=5,320,IF(CH11=4,195,IF(CH11=3,132,IF(CH11=2,90,IF(CH11=1,58,IF(CH11=-1,0,35))))))</f>
        <v>0</v>
      </c>
      <c r="CV11" s="48">
        <f>IF(CH11=5,20,IF(CH11=4,15,IF(CH11=3,12,IF(CH11=2,10,IF(CH11=1,8,IF(CH11=-1,0,5))))))</f>
        <v>0</v>
      </c>
      <c r="CW11" s="48">
        <f>IF(BY11&gt;10,(BY11/10)-ROUNDDOWN(BY11/10,0),0)+IF(CA11&gt;10,(CA11/10)-ROUNDDOWN(CA11/10,0),0)+IF(CC11&gt;10,(CC11/10)-ROUNDDOWN(CC11/10,0),0)+IF(CE11&gt;10,(CE11/10)-ROUNDDOWN(CE11/10,0),0)+IF(CG11&gt;10,(CG11/10)-ROUNDDOWN(CG11/10,0),0)+IF(CI11&gt;10,(CI11/10)-ROUNDDOWN(CI11/10,0),0)</f>
        <v>0</v>
      </c>
      <c r="CX11" s="48">
        <f>1+(CW11/10)</f>
        <v>1</v>
      </c>
    </row>
    <row r="12" ht="20.05" customHeight="1">
      <c r="A12" t="s" s="43">
        <v>270</v>
      </c>
      <c r="B12" s="49"/>
      <c r="C12" t="s" s="45">
        <v>73</v>
      </c>
      <c r="D12" s="13">
        <v>2</v>
      </c>
      <c r="E12" t="s" s="15">
        <v>258</v>
      </c>
      <c r="F12" t="s" s="15">
        <v>268</v>
      </c>
      <c r="G12" t="s" s="15">
        <v>253</v>
      </c>
      <c r="H12" s="12">
        <v>3</v>
      </c>
      <c r="I12" t="s" s="15">
        <v>235</v>
      </c>
      <c r="J12" s="12">
        <v>113</v>
      </c>
      <c r="K12" t="s" s="14">
        <v>236</v>
      </c>
      <c r="L12" t="s" s="15">
        <v>237</v>
      </c>
      <c r="M12" t="s" s="15">
        <v>25</v>
      </c>
      <c r="N12" s="46">
        <f>ROUND((SUM(AA12,T12:Y12,AC12:AE12,Z12*10)-AB12*15)*(IF(K12="Heavy",0.15,IF(K12="Medium",0,IF(K12="Light",-0.15,10)))+1),0)</f>
        <v>797</v>
      </c>
      <c r="O12" s="46">
        <v>1302</v>
      </c>
      <c r="P12" s="46">
        <f>ROUNDDOWN((BI12+AU12+AG12)/5,0)+(BJ12+AV12+AH12)+(BN12+AZ12+AL12)+(BO12+BA12+AM12)+(BK12+AW12+AI12)+(BS12+BE12+AQ12)+(BL12+AX12+AJ12)+(BQ12+BC12+AO12)+(2*((BT12+BF12+AR12)+(BU12+BG12+AS12)))+(CK12+CM12+CO12+CQ12+CS12+CU12)+(CL12*BY12)+(CN12*CA12)+(CP12+CC12)+(CR12+CE12)+(CT12+CG12)+(CV12+CI12)+BV12</f>
        <v>1820</v>
      </c>
      <c r="Q12" s="46">
        <f>ROUNDDOWN(((S12/5)+T12+X12+Y12+U12+AC12+V12+AA12+(2*(AD12+AE12))+CK12+CM12+CO12+CQ12+CS12+CU12+(CL12*BX12)+(CN12*BZ12)+(CP12*CB12)+(CR12*CD12)+(CT12*CF12)+(CV12*CH12))*CX12,0)</f>
        <v>1489</v>
      </c>
      <c r="R12" s="46">
        <f>ROUNDDOWN(AVERAGE(P12:Q12),0)</f>
        <v>1654</v>
      </c>
      <c r="S12" s="12">
        <f>AG12+AU12+BI12</f>
        <v>1299</v>
      </c>
      <c r="T12" s="12">
        <f>AH12+AV12+BJ12</f>
        <v>42</v>
      </c>
      <c r="U12" s="12">
        <f>AI12+AW12+BK12</f>
        <v>0</v>
      </c>
      <c r="V12" s="12">
        <f>AJ12+AX12+BL12</f>
        <v>188</v>
      </c>
      <c r="W12" s="12">
        <f>AK12+AY12+BM12</f>
        <v>23</v>
      </c>
      <c r="X12" s="12">
        <f>AL12+AZ12+BN12</f>
        <v>447</v>
      </c>
      <c r="Y12" s="12">
        <f>AM12+BA12+BO12</f>
        <v>0</v>
      </c>
      <c r="Z12" s="12">
        <f>AN12+BB12+BP12</f>
        <v>2</v>
      </c>
      <c r="AA12" s="12">
        <f>AO12+BC12+BQ12</f>
        <v>14</v>
      </c>
      <c r="AB12" s="12">
        <f>AP12+BD12+BR12</f>
        <v>7</v>
      </c>
      <c r="AC12" s="12">
        <f>AQ12+BE12+BS12</f>
        <v>79</v>
      </c>
      <c r="AD12" s="12">
        <f>AR12+BF12+BT12</f>
        <v>52</v>
      </c>
      <c r="AE12" s="12">
        <f>AS12+BG12+BU12</f>
        <v>178</v>
      </c>
      <c r="AF12" s="28"/>
      <c r="AG12" s="12">
        <v>0</v>
      </c>
      <c r="AH12" s="12">
        <v>0</v>
      </c>
      <c r="AI12" s="12">
        <v>0</v>
      </c>
      <c r="AJ12" s="28"/>
      <c r="AK12" s="12">
        <v>0</v>
      </c>
      <c r="AL12" s="12">
        <v>0</v>
      </c>
      <c r="AM12" s="12">
        <v>0</v>
      </c>
      <c r="AN12" s="12">
        <v>0</v>
      </c>
      <c r="AO12" s="12">
        <v>0</v>
      </c>
      <c r="AP12" s="12">
        <v>0</v>
      </c>
      <c r="AQ12" s="12">
        <v>0</v>
      </c>
      <c r="AR12" s="12">
        <v>0</v>
      </c>
      <c r="AS12" s="12">
        <v>0</v>
      </c>
      <c r="AT12" s="28"/>
      <c r="AU12" s="12">
        <f>IF($H12=3,IF(OR($F12="DDV",$F12="DDG",$F12="DD"),'Fleet Tech - Tech'!B$3,IF($F12="CL",'Fleet Tech - Tech'!B$4,IF($F12="CA",'Fleet Tech - Tech'!B$5,IF($F12="BC",'Fleet Tech - Tech'!B$6,IF($F12="BB",'Fleet Tech - Tech'!B$7,IF($F12="CVL",'Fleet Tech - Tech'!B$8,IF($F12="CV",'Fleet Tech - Tech'!B$9,IF($F12="SS",'Fleet Tech - Tech'!B$10,IF($F12="BBV",'Fleet Tech - Tech'!B$11,IF($F12="CB",'Fleet Tech - Tech'!B$15,IF($F12="AE",'Fleet Tech - Tech'!B$16,IF($F12="IX",'Fleet Tech - Tech'!B$17,IF($F12="BM",'Fleet Tech - Tech'!B$13,IF($F12="AR",'Fleet Tech - Tech'!B$12,IF($F12="SSV",'Fleet Tech - Tech'!B$14,"nil"))))))))))))))),0)</f>
        <v>35</v>
      </c>
      <c r="AV12" s="12">
        <f>IF($H12=3,IF(OR($F12="DDV",$F12="DDG",$F12="DD"),'Fleet Tech - Tech'!C$3,IF($F12="CL",'Fleet Tech - Tech'!C$4,IF($F12="CA",'Fleet Tech - Tech'!C$5,IF($F12="BC",'Fleet Tech - Tech'!C$6,IF($F12="BB",'Fleet Tech - Tech'!C$7,IF($F12="CVL",'Fleet Tech - Tech'!C$8,IF($F12="CV",'Fleet Tech - Tech'!C$9,IF($F12="SS",'Fleet Tech - Tech'!C$10,IF($F12="BBV",'Fleet Tech - Tech'!C$11,IF($F12="CB",'Fleet Tech - Tech'!C$15,IF($F12="AE",'Fleet Tech - Tech'!C$16,IF($F12="IX",'Fleet Tech - Tech'!C$17,IF($F12="BM",'Fleet Tech - Tech'!C$13,IF($F12="AR",'Fleet Tech - Tech'!C$12,IF($F12="SSV",'Fleet Tech - Tech'!C$14,"nil"))))))))))))))),0)</f>
        <v>2</v>
      </c>
      <c r="AW12" s="12">
        <f>IF($H12=3,IF(OR($F12="DDV",$F12="DDG",$F12="DD"),'Fleet Tech - Tech'!D$3,IF($F12="CL",'Fleet Tech - Tech'!D$4,IF($F12="CA",'Fleet Tech - Tech'!D$5,IF($F12="BC",'Fleet Tech - Tech'!D$6,IF($F12="BB",'Fleet Tech - Tech'!D$7,IF($F12="CVL",'Fleet Tech - Tech'!D$8,IF($F12="CV",'Fleet Tech - Tech'!D$9,IF($F12="SS",'Fleet Tech - Tech'!D$10,IF($F12="BBV",'Fleet Tech - Tech'!D$11,IF($F12="CB",'Fleet Tech - Tech'!D$15,IF($F12="AE",'Fleet Tech - Tech'!D$16,IF($F12="IX",'Fleet Tech - Tech'!D$17,IF($F12="BM",'Fleet Tech - Tech'!D$13,IF($F12="AR",'Fleet Tech - Tech'!D$12,IF($F12="SSV",'Fleet Tech - Tech'!D$14,"nil"))))))))))))))),0)</f>
        <v>0</v>
      </c>
      <c r="AX12" s="12">
        <f>IF($H12=3,IF(OR($F12="DDV",$F12="DDG",$F12="DD"),'Fleet Tech - Tech'!E$3,IF($F12="CL",'Fleet Tech - Tech'!E$4,IF($F12="CA",'Fleet Tech - Tech'!E$5,IF($F12="BC",'Fleet Tech - Tech'!E$6,IF($F12="BB",'Fleet Tech - Tech'!E$7,IF($F12="CVL",'Fleet Tech - Tech'!E$8,IF($F12="CV",'Fleet Tech - Tech'!E$9,IF($F12="SS",'Fleet Tech - Tech'!E$10,IF($F12="BBV",'Fleet Tech - Tech'!E$11,IF($F12="CB",'Fleet Tech - Tech'!E$15,IF($F12="AE",'Fleet Tech - Tech'!E$16,IF($F12="IX",'Fleet Tech - Tech'!E$17,IF($F12="BM",'Fleet Tech - Tech'!E$13,IF($F12="AR",'Fleet Tech - Tech'!E$12,IF($F12="SSV",'Fleet Tech - Tech'!E$14,"nil"))))))))))))))),0)</f>
        <v>0</v>
      </c>
      <c r="AY12" s="12">
        <f>IF($H12=3,IF(OR($F12="DDV",$F12="DDG",$F12="DD"),'Fleet Tech - Tech'!F$3,IF($F12="CL",'Fleet Tech - Tech'!F$4,IF($F12="CA",'Fleet Tech - Tech'!F$5,IF($F12="BC",'Fleet Tech - Tech'!F$6,IF($F12="BB",'Fleet Tech - Tech'!F$7,IF($F12="CVL",'Fleet Tech - Tech'!F$8,IF($F12="CV",'Fleet Tech - Tech'!F$9,IF($F12="SS",'Fleet Tech - Tech'!F$10,IF($F12="BBV",'Fleet Tech - Tech'!F$11,IF($F12="CB",'Fleet Tech - Tech'!F$15,IF($F12="AE",'Fleet Tech - Tech'!F$16,IF($F12="IX",'Fleet Tech - Tech'!F$17,IF($F12="BM",'Fleet Tech - Tech'!F$13,IF($F12="AR",'Fleet Tech - Tech'!F$12,IF($F12="SSV",'Fleet Tech - Tech'!F$14,"nil"))))))))))))))),0)</f>
        <v>0</v>
      </c>
      <c r="AZ12" s="12">
        <f>IF($H12=3,IF(OR($F12="DDV",$F12="DDG",$F12="DD"),'Fleet Tech - Tech'!G$3,IF($F12="CL",'Fleet Tech - Tech'!G$4,IF($F12="CA",'Fleet Tech - Tech'!G$5,IF($F12="BC",'Fleet Tech - Tech'!G$6,IF($F12="BB",'Fleet Tech - Tech'!G$7,IF($F12="CVL",'Fleet Tech - Tech'!G$8,IF($F12="CV",'Fleet Tech - Tech'!G$9,IF($F12="SS",'Fleet Tech - Tech'!G$10,IF($F12="BBV",'Fleet Tech - Tech'!G$11,IF($F12="CB",'Fleet Tech - Tech'!G$15,IF($F12="AE",'Fleet Tech - Tech'!G$16,IF($F12="IX",'Fleet Tech - Tech'!G$17,IF($F12="BM",'Fleet Tech - Tech'!G$13,IF($F12="AR",'Fleet Tech - Tech'!G$12,IF($F12="SSV",'Fleet Tech - Tech'!G$14,"nil"))))))))))))))),0)</f>
        <v>9</v>
      </c>
      <c r="BA12" s="12">
        <f>IF($H12=3,IF(OR($F12="DDV",$F12="DDG",$F12="DD"),'Fleet Tech - Tech'!H$3,IF($F12="CL",'Fleet Tech - Tech'!H$4,IF($F12="CA",'Fleet Tech - Tech'!H$5,IF($F12="BC",'Fleet Tech - Tech'!H$6,IF($F12="BB",'Fleet Tech - Tech'!H$7,IF($F12="CVL",'Fleet Tech - Tech'!H$8,IF($F12="CV",'Fleet Tech - Tech'!H$9,IF($F12="SS",'Fleet Tech - Tech'!H$10,IF($F12="BBV",'Fleet Tech - Tech'!H$11,IF($F12="CB",'Fleet Tech - Tech'!H$15,IF($F12="AE",'Fleet Tech - Tech'!H$16,IF($F12="IX",'Fleet Tech - Tech'!H$17,IF($F12="BM",'Fleet Tech - Tech'!H$13,IF($F12="AR",'Fleet Tech - Tech'!H$12,IF($F12="SSV",'Fleet Tech - Tech'!H$14,"nil"))))))))))))))),0)</f>
        <v>0</v>
      </c>
      <c r="BB12" s="12">
        <f>IF($H12=3,IF(OR($F12="DDV",$F12="DDG",$F12="DD"),'Fleet Tech - Tech'!I$3,IF($F12="CL",'Fleet Tech - Tech'!I$4,IF($F12="CA",'Fleet Tech - Tech'!I$5,IF($F12="BC",'Fleet Tech - Tech'!I$6,IF($F12="BB",'Fleet Tech - Tech'!I$7,IF($F12="CVL",'Fleet Tech - Tech'!I$8,IF($F12="CV",'Fleet Tech - Tech'!I$9,IF($F12="SS",'Fleet Tech - Tech'!I$10,IF($F12="BBV",'Fleet Tech - Tech'!I$11,IF($F12="CB",'Fleet Tech - Tech'!I$15,IF($F12="AE",'Fleet Tech - Tech'!I$16,IF($F12="IX",'Fleet Tech - Tech'!I$17,IF($F12="BM",'Fleet Tech - Tech'!I$13,IF($F12="AR",'Fleet Tech - Tech'!I$12,IF($F12="SSV",'Fleet Tech - Tech'!I$14,"nil"))))))))))))))),0)</f>
        <v>0</v>
      </c>
      <c r="BC12" s="12">
        <f>IF($H12=3,IF(OR($F12="DDV",$F12="DDG",$F12="DD"),'Fleet Tech - Tech'!J$3,IF($F12="CL",'Fleet Tech - Tech'!J$4,IF($F12="CA",'Fleet Tech - Tech'!J$5,IF($F12="BC",'Fleet Tech - Tech'!J$6,IF($F12="BB",'Fleet Tech - Tech'!J$7,IF($F12="CVL",'Fleet Tech - Tech'!J$8,IF($F12="CV",'Fleet Tech - Tech'!J$9,IF($F12="SS",'Fleet Tech - Tech'!J$10,IF($F12="BBV",'Fleet Tech - Tech'!J$11,IF($F12="CB",'Fleet Tech - Tech'!J$15,IF($F12="AE",'Fleet Tech - Tech'!J$16,IF($F12="IX",'Fleet Tech - Tech'!J$17,IF($F12="BM",'Fleet Tech - Tech'!J$13,IF($F12="AR",'Fleet Tech - Tech'!J$12,IF($F12="SSV",'Fleet Tech - Tech'!J$14,"nil"))))))))))))))),0)</f>
        <v>0</v>
      </c>
      <c r="BD12" s="12">
        <f>IF($H12=3,IF(OR($F12="DDV",$F12="DDG",$F12="DD"),'Fleet Tech - Tech'!K$3,IF($F12="CL",'Fleet Tech - Tech'!K$4,IF($F12="CA",'Fleet Tech - Tech'!K$5,IF($F12="BC",'Fleet Tech - Tech'!K$6,IF($F12="BB",'Fleet Tech - Tech'!K$7,IF($F12="CVL",'Fleet Tech - Tech'!K$8,IF($F12="CV",'Fleet Tech - Tech'!K$9,IF($F12="SS",'Fleet Tech - Tech'!K$10,IF($F12="BBV",'Fleet Tech - Tech'!K$11,IF($F12="CB",'Fleet Tech - Tech'!K$15,IF($F12="AE",'Fleet Tech - Tech'!K$16,IF($F12="IX",'Fleet Tech - Tech'!K$17,IF($F12="BM",'Fleet Tech - Tech'!K$13,IF($F12="AR",'Fleet Tech - Tech'!K$12,IF($F12="SSV",'Fleet Tech - Tech'!K$14,"nil"))))))))))))))),0)</f>
        <v>0</v>
      </c>
      <c r="BE12" s="12">
        <f>IF($H12=3,IF(OR($F12="DDV",$F12="DDG",$F12="DD"),'Fleet Tech - Tech'!L$3,IF($F12="CL",'Fleet Tech - Tech'!L$4,IF($F12="CA",'Fleet Tech - Tech'!L$5,IF($F12="BC",'Fleet Tech - Tech'!L$6,IF($F12="BB",'Fleet Tech - Tech'!L$7,IF($F12="CVL",'Fleet Tech - Tech'!L$8,IF($F12="CV",'Fleet Tech - Tech'!L$9,IF($F12="SS",'Fleet Tech - Tech'!L$10,IF($F12="BBV",'Fleet Tech - Tech'!L$11,IF($F12="CB",'Fleet Tech - Tech'!L$15,IF($F12="AE",'Fleet Tech - Tech'!L$16,IF($F12="IX",'Fleet Tech - Tech'!L$17,IF($F12="BM",'Fleet Tech - Tech'!L$13,IF($F12="AR",'Fleet Tech - Tech'!L$12,IF($F12="SSV",'Fleet Tech - Tech'!L$14,"nil"))))))))))))))),0)</f>
        <v>0</v>
      </c>
      <c r="BF12" s="12">
        <f>IF($H12=3,IF(OR($F12="DDV",$F12="DDG",$F12="DD"),'Fleet Tech - Tech'!M$3,IF($F12="CL",'Fleet Tech - Tech'!M$4,IF($F12="CA",'Fleet Tech - Tech'!M$5,IF($F12="BC",'Fleet Tech - Tech'!M$6,IF($F12="BB",'Fleet Tech - Tech'!M$7,IF($F12="CVL",'Fleet Tech - Tech'!M$8,IF($F12="CV",'Fleet Tech - Tech'!M$9,IF($F12="SS",'Fleet Tech - Tech'!M$10,IF($F12="BBV",'Fleet Tech - Tech'!M$11,IF($F12="CB",'Fleet Tech - Tech'!M$15,IF($F12="AE",'Fleet Tech - Tech'!M$16,IF($F12="IX",'Fleet Tech - Tech'!M$17,IF($F12="BM",'Fleet Tech - Tech'!M$13,IF($F12="AR",'Fleet Tech - Tech'!M$12,IF($F12="SSV",'Fleet Tech - Tech'!M$14,"nil"))))))))))))))),0)</f>
        <v>17</v>
      </c>
      <c r="BG12" s="12">
        <f>IF($H12=3,IF(OR($F12="DDV",$F12="DDG",$F12="DD"),'Fleet Tech - Tech'!N$3,IF($F12="CL",'Fleet Tech - Tech'!N$4,IF($F12="CA",'Fleet Tech - Tech'!N$5,IF($F12="BC",'Fleet Tech - Tech'!N$6,IF($F12="BB",'Fleet Tech - Tech'!N$7,IF($F12="CVL",'Fleet Tech - Tech'!N$8,IF($F12="CV",'Fleet Tech - Tech'!N$9,IF($F12="SS",'Fleet Tech - Tech'!N$10,IF($F12="BBV",'Fleet Tech - Tech'!N$11,IF($F12="CB",'Fleet Tech - Tech'!N$15,IF($F12="AE",'Fleet Tech - Tech'!N$16,IF($F12="IX",'Fleet Tech - Tech'!N$17,IF($F12="BM",'Fleet Tech - Tech'!N$13,IF($F12="AR",'Fleet Tech - Tech'!N$12,IF($F12="SSV",'Fleet Tech - Tech'!N$14,"nil"))))))))))))))),0)</f>
        <v>10</v>
      </c>
      <c r="BH12" s="28"/>
      <c r="BI12" s="12">
        <v>1264</v>
      </c>
      <c r="BJ12" s="12">
        <v>40</v>
      </c>
      <c r="BK12" s="12">
        <v>0</v>
      </c>
      <c r="BL12" s="12">
        <v>188</v>
      </c>
      <c r="BM12" s="12">
        <v>23</v>
      </c>
      <c r="BN12" s="12">
        <v>438</v>
      </c>
      <c r="BO12" s="12">
        <v>0</v>
      </c>
      <c r="BP12" s="12">
        <v>2</v>
      </c>
      <c r="BQ12" s="12">
        <v>14</v>
      </c>
      <c r="BR12" s="12">
        <v>7</v>
      </c>
      <c r="BS12" s="12">
        <v>79</v>
      </c>
      <c r="BT12" s="12">
        <v>35</v>
      </c>
      <c r="BU12" s="12">
        <v>168</v>
      </c>
      <c r="BV12" s="12">
        <v>335</v>
      </c>
      <c r="BW12" s="28"/>
      <c r="BX12" s="12">
        <v>-1</v>
      </c>
      <c r="BY12" s="12">
        <v>-1</v>
      </c>
      <c r="BZ12" s="12">
        <v>-1</v>
      </c>
      <c r="CA12" s="12">
        <v>-1</v>
      </c>
      <c r="CB12" s="12">
        <v>-1</v>
      </c>
      <c r="CC12" s="12">
        <v>-1</v>
      </c>
      <c r="CD12" s="12">
        <v>-1</v>
      </c>
      <c r="CE12" s="12">
        <v>-1</v>
      </c>
      <c r="CF12" s="12">
        <v>-1</v>
      </c>
      <c r="CG12" s="12">
        <v>-1</v>
      </c>
      <c r="CH12" s="12">
        <v>-1</v>
      </c>
      <c r="CI12" s="12">
        <v>-1</v>
      </c>
      <c r="CJ12" s="47"/>
      <c r="CK12" s="48">
        <f>IF(BX12=5,320,IF(BX12=4,195,IF(BX12=3,132,IF(BX12=2,90,IF(BX12=1,58,IF(BX12=-1,0,35))))))</f>
        <v>0</v>
      </c>
      <c r="CL12" s="48">
        <f>IF(BX12=5,20,IF(BX12=4,15,IF(BX12=3,12,IF(BX12=2,10,IF(BX12=1,8,IF(BX12=-1,0,5))))))</f>
        <v>0</v>
      </c>
      <c r="CM12" s="48">
        <f>IF(BZ12=5,320,IF(BZ12=4,195,IF(BZ12=3,132,IF(BZ12=2,90,IF(BZ12=1,58,IF(BZ12=-1,0,35))))))</f>
        <v>0</v>
      </c>
      <c r="CN12" s="48">
        <f>IF(BZ12=5,20,IF(BZ12=4,15,IF(BZ12=3,12,IF(BZ12=2,10,IF(BZ12=1,8,IF(BZ12=-1,0,5))))))</f>
        <v>0</v>
      </c>
      <c r="CO12" s="48">
        <f>IF(CB12=5,320,IF(CB12=4,195,IF(CB12=3,132,IF(CB12=2,90,IF(CB12=1,58,IF(CB12=-1,0,35))))))</f>
        <v>0</v>
      </c>
      <c r="CP12" s="48">
        <f>IF(CB12=5,20,IF(CB12=4,15,IF(CB12=3,12,IF(CB12=2,10,IF(CB12=1,8,IF(CB12=-1,0,5))))))</f>
        <v>0</v>
      </c>
      <c r="CQ12" s="48">
        <f>IF(CD12=5,320,IF(CD12=4,195,IF(CD12=3,132,IF(CD12=2,90,IF(CD12=1,58,IF(CD12=-1,0,35))))))</f>
        <v>0</v>
      </c>
      <c r="CR12" s="48">
        <f>IF(CD12=5,20,IF(CD12=4,15,IF(CD12=3,12,IF(CD12=2,10,IF(CD12=1,8,IF(CD12=-1,0,5))))))</f>
        <v>0</v>
      </c>
      <c r="CS12" s="48">
        <f>IF(CF12=5,320,IF(CF12=4,195,IF(CF12=3,132,IF(CF12=2,90,IF(CF12=1,58,IF(CF12=-1,0,35))))))</f>
        <v>0</v>
      </c>
      <c r="CT12" s="48">
        <f>IF(CF12=5,20,IF(CF12=4,15,IF(CF12=3,12,IF(CF12=2,10,IF(CF12=1,8,IF(CF12=-1,0,5))))))</f>
        <v>0</v>
      </c>
      <c r="CU12" s="48">
        <f>IF(CH12=5,320,IF(CH12=4,195,IF(CH12=3,132,IF(CH12=2,90,IF(CH12=1,58,IF(CH12=-1,0,35))))))</f>
        <v>0</v>
      </c>
      <c r="CV12" s="48">
        <f>IF(CH12=5,20,IF(CH12=4,15,IF(CH12=3,12,IF(CH12=2,10,IF(CH12=1,8,IF(CH12=-1,0,5))))))</f>
        <v>0</v>
      </c>
      <c r="CW12" s="48">
        <f>IF(BY12&gt;10,(BY12/10)-ROUNDDOWN(BY12/10,0),0)+IF(CA12&gt;10,(CA12/10)-ROUNDDOWN(CA12/10,0),0)+IF(CC12&gt;10,(CC12/10)-ROUNDDOWN(CC12/10,0),0)+IF(CE12&gt;10,(CE12/10)-ROUNDDOWN(CE12/10,0),0)+IF(CG12&gt;10,(CG12/10)-ROUNDDOWN(CG12/10,0),0)+IF(CI12&gt;10,(CI12/10)-ROUNDDOWN(CI12/10,0),0)</f>
        <v>0</v>
      </c>
      <c r="CX12" s="48">
        <f>1+(CW12/10)</f>
        <v>1</v>
      </c>
    </row>
    <row r="13" ht="20.05" customHeight="1">
      <c r="A13" t="s" s="43">
        <v>271</v>
      </c>
      <c r="B13" s="49"/>
      <c r="C13" t="s" s="45">
        <v>73</v>
      </c>
      <c r="D13" s="13">
        <v>2</v>
      </c>
      <c r="E13" t="s" s="15">
        <v>240</v>
      </c>
      <c r="F13" t="s" s="15">
        <v>272</v>
      </c>
      <c r="G13" t="s" s="15">
        <v>262</v>
      </c>
      <c r="H13" s="12">
        <v>3</v>
      </c>
      <c r="I13" t="s" s="15">
        <v>273</v>
      </c>
      <c r="J13" s="12">
        <v>109</v>
      </c>
      <c r="K13" t="s" s="14">
        <v>264</v>
      </c>
      <c r="L13" t="s" s="15">
        <v>237</v>
      </c>
      <c r="M13" t="s" s="15">
        <v>25</v>
      </c>
      <c r="N13" s="46">
        <f>ROUND((SUM(AA13,T13:Y13,AC13:AE13,Z13*10)-AB13*15)*(IF(K13="Heavy",0.15,IF(K13="Medium",0,IF(K13="Light",-0.15,10)))+1),0)</f>
        <v>1435</v>
      </c>
      <c r="O13" s="46">
        <v>4629</v>
      </c>
      <c r="P13" s="46">
        <f>ROUNDDOWN((BI13+AU13+AG13)/5,0)+(BJ13+AV13+AH13)+(BN13+AZ13+AL13)+(BO13+BA13+AM13)+(BK13+AW13+AI13)+(BS13+BE13+AQ13)+(BL13+AX13+AJ13)+(BQ13+BC13+AO13)+(2*((BT13+BF13+AR13)+(BU13+BG13+AS13)))+(CK13+CM13+CO13+CQ13+CS13+CU13)+(CL13*BY13)+(CN13*CA13)+(CP13+CC13)+(CR13+CE13)+(CT13+CG13)+(CV13+CI13)+BV13</f>
        <v>4767</v>
      </c>
      <c r="Q13" s="46">
        <f>ROUNDDOWN(((S13/5)+T13+X13+Y13+U13+AC13+V13+AA13+(2*(AD13+AE13))+CK13+CM13+CO13+CQ13+CS13+CU13+(CL13*BX13)+(CN13*BZ13)+(CP13*CB13)+(CR13*CD13)+(CT13*CF13)+(CV13*CH13))*CX13,0)</f>
        <v>4421</v>
      </c>
      <c r="R13" s="46">
        <f>ROUNDDOWN(AVERAGE(P13:Q13),0)</f>
        <v>4594</v>
      </c>
      <c r="S13" s="12">
        <f>AG13+AU13+BI13</f>
        <v>6836</v>
      </c>
      <c r="T13" s="12">
        <f>AH13+AV13+BJ13</f>
        <v>474</v>
      </c>
      <c r="U13" s="12">
        <f>AI13+AW13+BK13</f>
        <v>389</v>
      </c>
      <c r="V13" s="12">
        <f>AJ13+AX13+BL13</f>
        <v>0</v>
      </c>
      <c r="W13" s="12">
        <f>AK13+AY13+BM13</f>
        <v>15</v>
      </c>
      <c r="X13" s="12">
        <f>AL13+AZ13+BN13</f>
        <v>275</v>
      </c>
      <c r="Y13" s="12">
        <f>AM13+BA13+BO13</f>
        <v>0</v>
      </c>
      <c r="Z13" s="12">
        <f>AN13+BB13+BP13</f>
        <v>0</v>
      </c>
      <c r="AA13" s="12">
        <f>AO13+BC13+BQ13</f>
        <v>30</v>
      </c>
      <c r="AB13" s="12">
        <f>AP13+BD13+BR13</f>
        <v>16</v>
      </c>
      <c r="AC13" s="12">
        <f>AQ13+BE13+BS13</f>
        <v>166</v>
      </c>
      <c r="AD13" s="12">
        <f>AR13+BF13+BT13</f>
        <v>34</v>
      </c>
      <c r="AE13" s="12">
        <f>AS13+BG13+BU13</f>
        <v>105</v>
      </c>
      <c r="AF13" s="28"/>
      <c r="AG13" s="12">
        <v>0</v>
      </c>
      <c r="AH13" s="12">
        <v>128</v>
      </c>
      <c r="AI13" s="12">
        <v>63</v>
      </c>
      <c r="AJ13" s="12">
        <v>0</v>
      </c>
      <c r="AK13" s="12">
        <v>0</v>
      </c>
      <c r="AL13" s="12">
        <v>45</v>
      </c>
      <c r="AM13" s="12">
        <v>0</v>
      </c>
      <c r="AN13" s="12">
        <v>0</v>
      </c>
      <c r="AO13" s="12">
        <v>0</v>
      </c>
      <c r="AP13" s="12">
        <v>0</v>
      </c>
      <c r="AQ13" s="12">
        <v>0</v>
      </c>
      <c r="AR13" s="12">
        <v>0</v>
      </c>
      <c r="AS13" s="12">
        <v>45</v>
      </c>
      <c r="AT13" s="28"/>
      <c r="AU13" s="12">
        <f>IF($H13=3,IF(OR($F13="DDV",$F13="DDG",$F13="DD"),'Fleet Tech - Tech'!B$3,IF($F13="CL",'Fleet Tech - Tech'!B$4,IF($F13="CA",'Fleet Tech - Tech'!B$5,IF($F13="BC",'Fleet Tech - Tech'!B$6,IF($F13="BB",'Fleet Tech - Tech'!B$7,IF($F13="CVL",'Fleet Tech - Tech'!B$8,IF($F13="CV",'Fleet Tech - Tech'!B$9,IF($F13="SS",'Fleet Tech - Tech'!B$10,IF($F13="BBV",'Fleet Tech - Tech'!B$11,IF($F13="CB",'Fleet Tech - Tech'!B$15,IF($F13="AE",'Fleet Tech - Tech'!B$16,IF($F13="IX",'Fleet Tech - Tech'!B$17,IF($F13="BM",'Fleet Tech - Tech'!B$13,IF($F13="AR",'Fleet Tech - Tech'!B$12,IF($F13="SSV",'Fleet Tech - Tech'!B$14,"nil"))))))))))))))),0)</f>
        <v>82</v>
      </c>
      <c r="AV13" s="12">
        <f>IF($H13=3,IF(OR($F13="DDV",$F13="DDG",$F13="DD"),'Fleet Tech - Tech'!C$3,IF($F13="CL",'Fleet Tech - Tech'!C$4,IF($F13="CA",'Fleet Tech - Tech'!C$5,IF($F13="BC",'Fleet Tech - Tech'!C$6,IF($F13="BB",'Fleet Tech - Tech'!C$7,IF($F13="CVL",'Fleet Tech - Tech'!C$8,IF($F13="CV",'Fleet Tech - Tech'!C$9,IF($F13="SS",'Fleet Tech - Tech'!C$10,IF($F13="BBV",'Fleet Tech - Tech'!C$11,IF($F13="CB",'Fleet Tech - Tech'!C$15,IF($F13="AE",'Fleet Tech - Tech'!C$16,IF($F13="IX",'Fleet Tech - Tech'!C$17,IF($F13="BM",'Fleet Tech - Tech'!C$13,IF($F13="AR",'Fleet Tech - Tech'!C$12,IF($F13="SSV",'Fleet Tech - Tech'!C$14,"nil"))))))))))))))),0)</f>
        <v>2</v>
      </c>
      <c r="AW13" s="12">
        <f>IF($H13=3,IF(OR($F13="DDV",$F13="DDG",$F13="DD"),'Fleet Tech - Tech'!D$3,IF($F13="CL",'Fleet Tech - Tech'!D$4,IF($F13="CA",'Fleet Tech - Tech'!D$5,IF($F13="BC",'Fleet Tech - Tech'!D$6,IF($F13="BB",'Fleet Tech - Tech'!D$7,IF($F13="CVL",'Fleet Tech - Tech'!D$8,IF($F13="CV",'Fleet Tech - Tech'!D$9,IF($F13="SS",'Fleet Tech - Tech'!D$10,IF($F13="BBV",'Fleet Tech - Tech'!D$11,IF($F13="CB",'Fleet Tech - Tech'!D$15,IF($F13="AE",'Fleet Tech - Tech'!D$16,IF($F13="IX",'Fleet Tech - Tech'!D$17,IF($F13="BM",'Fleet Tech - Tech'!D$13,IF($F13="AR",'Fleet Tech - Tech'!D$12,IF($F13="SSV",'Fleet Tech - Tech'!D$14,"nil"))))))))))))))),0)</f>
        <v>4</v>
      </c>
      <c r="AX13" s="12">
        <f>IF($H13=3,IF(OR($F13="DDV",$F13="DDG",$F13="DD"),'Fleet Tech - Tech'!E$3,IF($F13="CL",'Fleet Tech - Tech'!E$4,IF($F13="CA",'Fleet Tech - Tech'!E$5,IF($F13="BC",'Fleet Tech - Tech'!E$6,IF($F13="BB",'Fleet Tech - Tech'!E$7,IF($F13="CVL",'Fleet Tech - Tech'!E$8,IF($F13="CV",'Fleet Tech - Tech'!E$9,IF($F13="SS",'Fleet Tech - Tech'!E$10,IF($F13="BBV",'Fleet Tech - Tech'!E$11,IF($F13="CB",'Fleet Tech - Tech'!E$15,IF($F13="AE",'Fleet Tech - Tech'!E$16,IF($F13="IX",'Fleet Tech - Tech'!E$17,IF($F13="BM",'Fleet Tech - Tech'!E$13,IF($F13="AR",'Fleet Tech - Tech'!E$12,IF($F13="SSV",'Fleet Tech - Tech'!E$14,"nil"))))))))))))))),0)</f>
        <v>0</v>
      </c>
      <c r="AY13" s="12">
        <f>IF($H13=3,IF(OR($F13="DDV",$F13="DDG",$F13="DD"),'Fleet Tech - Tech'!F$3,IF($F13="CL",'Fleet Tech - Tech'!F$4,IF($F13="CA",'Fleet Tech - Tech'!F$5,IF($F13="BC",'Fleet Tech - Tech'!F$6,IF($F13="BB",'Fleet Tech - Tech'!F$7,IF($F13="CVL",'Fleet Tech - Tech'!F$8,IF($F13="CV",'Fleet Tech - Tech'!F$9,IF($F13="SS",'Fleet Tech - Tech'!F$10,IF($F13="BBV",'Fleet Tech - Tech'!F$11,IF($F13="CB",'Fleet Tech - Tech'!F$15,IF($F13="AE",'Fleet Tech - Tech'!F$16,IF($F13="IX",'Fleet Tech - Tech'!F$17,IF($F13="BM",'Fleet Tech - Tech'!F$13,IF($F13="AR",'Fleet Tech - Tech'!F$12,IF($F13="SSV",'Fleet Tech - Tech'!F$14,"nil"))))))))))))))),0)</f>
        <v>0</v>
      </c>
      <c r="AZ13" s="12">
        <f>IF($H13=3,IF(OR($F13="DDV",$F13="DDG",$F13="DD"),'Fleet Tech - Tech'!G$3,IF($F13="CL",'Fleet Tech - Tech'!G$4,IF($F13="CA",'Fleet Tech - Tech'!G$5,IF($F13="BC",'Fleet Tech - Tech'!G$6,IF($F13="BB",'Fleet Tech - Tech'!G$7,IF($F13="CVL",'Fleet Tech - Tech'!G$8,IF($F13="CV",'Fleet Tech - Tech'!G$9,IF($F13="SS",'Fleet Tech - Tech'!G$10,IF($F13="BBV",'Fleet Tech - Tech'!G$11,IF($F13="CB",'Fleet Tech - Tech'!G$15,IF($F13="AE",'Fleet Tech - Tech'!G$16,IF($F13="IX",'Fleet Tech - Tech'!G$17,IF($F13="BM",'Fleet Tech - Tech'!G$13,IF($F13="AR",'Fleet Tech - Tech'!G$12,IF($F13="SSV",'Fleet Tech - Tech'!G$14,"nil"))))))))))))))),0)</f>
        <v>0</v>
      </c>
      <c r="BA13" s="12">
        <f>IF($H13=3,IF(OR($F13="DDV",$F13="DDG",$F13="DD"),'Fleet Tech - Tech'!H$3,IF($F13="CL",'Fleet Tech - Tech'!H$4,IF($F13="CA",'Fleet Tech - Tech'!H$5,IF($F13="BC",'Fleet Tech - Tech'!H$6,IF($F13="BB",'Fleet Tech - Tech'!H$7,IF($F13="CVL",'Fleet Tech - Tech'!H$8,IF($F13="CV",'Fleet Tech - Tech'!H$9,IF($F13="SS",'Fleet Tech - Tech'!H$10,IF($F13="BBV",'Fleet Tech - Tech'!H$11,IF($F13="CB",'Fleet Tech - Tech'!H$15,IF($F13="AE",'Fleet Tech - Tech'!H$16,IF($F13="IX",'Fleet Tech - Tech'!H$17,IF($F13="BM",'Fleet Tech - Tech'!H$13,IF($F13="AR",'Fleet Tech - Tech'!H$12,IF($F13="SSV",'Fleet Tech - Tech'!H$14,"nil"))))))))))))))),0)</f>
        <v>0</v>
      </c>
      <c r="BB13" s="12">
        <f>IF($H13=3,IF(OR($F13="DDV",$F13="DDG",$F13="DD"),'Fleet Tech - Tech'!I$3,IF($F13="CL",'Fleet Tech - Tech'!I$4,IF($F13="CA",'Fleet Tech - Tech'!I$5,IF($F13="BC",'Fleet Tech - Tech'!I$6,IF($F13="BB",'Fleet Tech - Tech'!I$7,IF($F13="CVL",'Fleet Tech - Tech'!I$8,IF($F13="CV",'Fleet Tech - Tech'!I$9,IF($F13="SS",'Fleet Tech - Tech'!I$10,IF($F13="BBV",'Fleet Tech - Tech'!I$11,IF($F13="CB",'Fleet Tech - Tech'!I$15,IF($F13="AE",'Fleet Tech - Tech'!I$16,IF($F13="IX",'Fleet Tech - Tech'!I$17,IF($F13="BM",'Fleet Tech - Tech'!I$13,IF($F13="AR",'Fleet Tech - Tech'!I$12,IF($F13="SSV",'Fleet Tech - Tech'!I$14,"nil"))))))))))))))),0)</f>
        <v>0</v>
      </c>
      <c r="BC13" s="12">
        <f>IF($H13=3,IF(OR($F13="DDV",$F13="DDG",$F13="DD"),'Fleet Tech - Tech'!J$3,IF($F13="CL",'Fleet Tech - Tech'!J$4,IF($F13="CA",'Fleet Tech - Tech'!J$5,IF($F13="BC",'Fleet Tech - Tech'!J$6,IF($F13="BB",'Fleet Tech - Tech'!J$7,IF($F13="CVL",'Fleet Tech - Tech'!J$8,IF($F13="CV",'Fleet Tech - Tech'!J$9,IF($F13="SS",'Fleet Tech - Tech'!J$10,IF($F13="BBV",'Fleet Tech - Tech'!J$11,IF($F13="CB",'Fleet Tech - Tech'!J$15,IF($F13="AE",'Fleet Tech - Tech'!J$16,IF($F13="IX",'Fleet Tech - Tech'!J$17,IF($F13="BM",'Fleet Tech - Tech'!J$13,IF($F13="AR",'Fleet Tech - Tech'!J$12,IF($F13="SSV",'Fleet Tech - Tech'!J$14,"nil"))))))))))))))),0)</f>
        <v>0</v>
      </c>
      <c r="BD13" s="12">
        <f>IF($H13=3,IF(OR($F13="DDV",$F13="DDG",$F13="DD"),'Fleet Tech - Tech'!K$3,IF($F13="CL",'Fleet Tech - Tech'!K$4,IF($F13="CA",'Fleet Tech - Tech'!K$5,IF($F13="BC",'Fleet Tech - Tech'!K$6,IF($F13="BB",'Fleet Tech - Tech'!K$7,IF($F13="CVL",'Fleet Tech - Tech'!K$8,IF($F13="CV",'Fleet Tech - Tech'!K$9,IF($F13="SS",'Fleet Tech - Tech'!K$10,IF($F13="BBV",'Fleet Tech - Tech'!K$11,IF($F13="CB",'Fleet Tech - Tech'!K$15,IF($F13="AE",'Fleet Tech - Tech'!K$16,IF($F13="IX",'Fleet Tech - Tech'!K$17,IF($F13="BM",'Fleet Tech - Tech'!K$13,IF($F13="AR",'Fleet Tech - Tech'!K$12,IF($F13="SSV",'Fleet Tech - Tech'!K$14,"nil"))))))))))))))),0)</f>
        <v>0</v>
      </c>
      <c r="BE13" s="12">
        <f>IF($H13=3,IF(OR($F13="DDV",$F13="DDG",$F13="DD"),'Fleet Tech - Tech'!L$3,IF($F13="CL",'Fleet Tech - Tech'!L$4,IF($F13="CA",'Fleet Tech - Tech'!L$5,IF($F13="BC",'Fleet Tech - Tech'!L$6,IF($F13="BB",'Fleet Tech - Tech'!L$7,IF($F13="CVL",'Fleet Tech - Tech'!L$8,IF($F13="CV",'Fleet Tech - Tech'!L$9,IF($F13="SS",'Fleet Tech - Tech'!L$10,IF($F13="BBV",'Fleet Tech - Tech'!L$11,IF($F13="CB",'Fleet Tech - Tech'!L$15,IF($F13="AE",'Fleet Tech - Tech'!L$16,IF($F13="IX",'Fleet Tech - Tech'!L$17,IF($F13="BM",'Fleet Tech - Tech'!L$13,IF($F13="AR",'Fleet Tech - Tech'!L$12,IF($F13="SSV",'Fleet Tech - Tech'!L$14,"nil"))))))))))))))),0)</f>
        <v>0</v>
      </c>
      <c r="BF13" s="12">
        <f>IF($H13=3,IF(OR($F13="DDV",$F13="DDG",$F13="DD"),'Fleet Tech - Tech'!M$3,IF($F13="CL",'Fleet Tech - Tech'!M$4,IF($F13="CA",'Fleet Tech - Tech'!M$5,IF($F13="BC",'Fleet Tech - Tech'!M$6,IF($F13="BB",'Fleet Tech - Tech'!M$7,IF($F13="CVL",'Fleet Tech - Tech'!M$8,IF($F13="CV",'Fleet Tech - Tech'!M$9,IF($F13="SS",'Fleet Tech - Tech'!M$10,IF($F13="BBV",'Fleet Tech - Tech'!M$11,IF($F13="CB",'Fleet Tech - Tech'!M$15,IF($F13="AE",'Fleet Tech - Tech'!M$16,IF($F13="IX",'Fleet Tech - Tech'!M$17,IF($F13="BM",'Fleet Tech - Tech'!M$13,IF($F13="AR",'Fleet Tech - Tech'!M$12,IF($F13="SSV",'Fleet Tech - Tech'!M$14,"nil"))))))))))))))),0)</f>
        <v>0</v>
      </c>
      <c r="BG13" s="12">
        <f>IF($H13=3,IF(OR($F13="DDV",$F13="DDG",$F13="DD"),'Fleet Tech - Tech'!N$3,IF($F13="CL",'Fleet Tech - Tech'!N$4,IF($F13="CA",'Fleet Tech - Tech'!N$5,IF($F13="BC",'Fleet Tech - Tech'!N$6,IF($F13="BB",'Fleet Tech - Tech'!N$7,IF($F13="CVL",'Fleet Tech - Tech'!N$8,IF($F13="CV",'Fleet Tech - Tech'!N$9,IF($F13="SS",'Fleet Tech - Tech'!N$10,IF($F13="BBV",'Fleet Tech - Tech'!N$11,IF($F13="CB",'Fleet Tech - Tech'!N$15,IF($F13="AE",'Fleet Tech - Tech'!N$16,IF($F13="IX",'Fleet Tech - Tech'!N$17,IF($F13="BM",'Fleet Tech - Tech'!N$13,IF($F13="AR",'Fleet Tech - Tech'!N$12,IF($F13="SSV",'Fleet Tech - Tech'!N$14,"nil"))))))))))))))),0)</f>
        <v>2</v>
      </c>
      <c r="BH13" s="28"/>
      <c r="BI13" s="12">
        <v>6754</v>
      </c>
      <c r="BJ13" s="12">
        <v>344</v>
      </c>
      <c r="BK13" s="12">
        <v>322</v>
      </c>
      <c r="BL13" s="12">
        <v>0</v>
      </c>
      <c r="BM13" s="12">
        <v>15</v>
      </c>
      <c r="BN13" s="12">
        <v>230</v>
      </c>
      <c r="BO13" s="12">
        <v>0</v>
      </c>
      <c r="BP13" s="12">
        <v>0</v>
      </c>
      <c r="BQ13" s="12">
        <v>30</v>
      </c>
      <c r="BR13" s="12">
        <v>16</v>
      </c>
      <c r="BS13" s="12">
        <v>166</v>
      </c>
      <c r="BT13" s="12">
        <v>34</v>
      </c>
      <c r="BU13" s="12">
        <v>58</v>
      </c>
      <c r="BV13" s="12">
        <v>335</v>
      </c>
      <c r="BW13" s="28"/>
      <c r="BX13" s="12">
        <v>4</v>
      </c>
      <c r="BY13" s="12">
        <v>11</v>
      </c>
      <c r="BZ13" s="12">
        <v>4</v>
      </c>
      <c r="CA13" s="12">
        <v>10</v>
      </c>
      <c r="CB13" s="12">
        <v>4</v>
      </c>
      <c r="CC13" s="12">
        <v>11</v>
      </c>
      <c r="CD13" s="12">
        <v>4</v>
      </c>
      <c r="CE13" s="12">
        <v>10</v>
      </c>
      <c r="CF13" s="12">
        <v>3</v>
      </c>
      <c r="CG13" s="12">
        <v>9</v>
      </c>
      <c r="CH13" s="12">
        <v>3</v>
      </c>
      <c r="CI13" s="12">
        <v>10</v>
      </c>
      <c r="CJ13" s="47"/>
      <c r="CK13" s="48">
        <f>IF(BX13=5,320,IF(BX13=4,195,IF(BX13=3,132,IF(BX13=2,90,IF(BX13=1,58,IF(BX13=-1,0,35))))))</f>
        <v>195</v>
      </c>
      <c r="CL13" s="48">
        <f>IF(BX13=5,20,IF(BX13=4,15,IF(BX13=3,12,IF(BX13=2,10,IF(BX13=1,8,IF(BX13=-1,0,5))))))</f>
        <v>15</v>
      </c>
      <c r="CM13" s="48">
        <f>IF(BZ13=5,320,IF(BZ13=4,195,IF(BZ13=3,132,IF(BZ13=2,90,IF(BZ13=1,58,IF(BZ13=-1,0,35))))))</f>
        <v>195</v>
      </c>
      <c r="CN13" s="48">
        <f>IF(BZ13=5,20,IF(BZ13=4,15,IF(BZ13=3,12,IF(BZ13=2,10,IF(BZ13=1,8,IF(BZ13=-1,0,5))))))</f>
        <v>15</v>
      </c>
      <c r="CO13" s="48">
        <f>IF(CB13=5,320,IF(CB13=4,195,IF(CB13=3,132,IF(CB13=2,90,IF(CB13=1,58,IF(CB13=-1,0,35))))))</f>
        <v>195</v>
      </c>
      <c r="CP13" s="48">
        <f>IF(CB13=5,20,IF(CB13=4,15,IF(CB13=3,12,IF(CB13=2,10,IF(CB13=1,8,IF(CB13=-1,0,5))))))</f>
        <v>15</v>
      </c>
      <c r="CQ13" s="48">
        <f>IF(CD13=5,320,IF(CD13=4,195,IF(CD13=3,132,IF(CD13=2,90,IF(CD13=1,58,IF(CD13=-1,0,35))))))</f>
        <v>195</v>
      </c>
      <c r="CR13" s="48">
        <f>IF(CD13=5,20,IF(CD13=4,15,IF(CD13=3,12,IF(CD13=2,10,IF(CD13=1,8,IF(CD13=-1,0,5))))))</f>
        <v>15</v>
      </c>
      <c r="CS13" s="48">
        <f>IF(CF13=5,320,IF(CF13=4,195,IF(CF13=3,132,IF(CF13=2,90,IF(CF13=1,58,IF(CF13=-1,0,35))))))</f>
        <v>132</v>
      </c>
      <c r="CT13" s="48">
        <f>IF(CF13=5,20,IF(CF13=4,15,IF(CF13=3,12,IF(CF13=2,10,IF(CF13=1,8,IF(CF13=-1,0,5))))))</f>
        <v>12</v>
      </c>
      <c r="CU13" s="48">
        <f>IF(CH13=5,320,IF(CH13=4,195,IF(CH13=3,132,IF(CH13=2,90,IF(CH13=1,58,IF(CH13=-1,0,35))))))</f>
        <v>132</v>
      </c>
      <c r="CV13" s="48">
        <f>IF(CH13=5,20,IF(CH13=4,15,IF(CH13=3,12,IF(CH13=2,10,IF(CH13=1,8,IF(CH13=-1,0,5))))))</f>
        <v>12</v>
      </c>
      <c r="CW13" s="48">
        <f>IF(BY13&gt;10,(BY13/10)-ROUNDDOWN(BY13/10,0),0)+IF(CA13&gt;10,(CA13/10)-ROUNDDOWN(CA13/10,0),0)+IF(CC13&gt;10,(CC13/10)-ROUNDDOWN(CC13/10,0),0)+IF(CE13&gt;10,(CE13/10)-ROUNDDOWN(CE13/10,0),0)+IF(CG13&gt;10,(CG13/10)-ROUNDDOWN(CG13/10,0),0)+IF(CI13&gt;10,(CI13/10)-ROUNDDOWN(CI13/10,0),0)</f>
        <v>0.2</v>
      </c>
      <c r="CX13" s="48">
        <f>1+(CW13/10)</f>
        <v>1.02</v>
      </c>
    </row>
    <row r="14" ht="20.05" customHeight="1">
      <c r="A14" t="s" s="43">
        <v>274</v>
      </c>
      <c r="B14" s="49"/>
      <c r="C14" t="s" s="45">
        <v>73</v>
      </c>
      <c r="D14" s="13">
        <v>2</v>
      </c>
      <c r="E14" t="s" s="15">
        <v>232</v>
      </c>
      <c r="F14" t="s" s="15">
        <v>275</v>
      </c>
      <c r="G14" t="s" s="15">
        <v>253</v>
      </c>
      <c r="H14" s="12">
        <v>3</v>
      </c>
      <c r="I14" t="s" s="15">
        <v>235</v>
      </c>
      <c r="J14" s="12">
        <v>109</v>
      </c>
      <c r="K14" t="s" s="14">
        <v>242</v>
      </c>
      <c r="L14" t="s" s="15">
        <v>237</v>
      </c>
      <c r="M14" t="s" s="15">
        <v>25</v>
      </c>
      <c r="N14" s="46">
        <f>ROUND((SUM(AA14,T14:Y14,AC14:AE14,Z14*10)-AB14*15)*(IF(K14="Heavy",0.15,IF(K14="Medium",0,IF(K14="Light",-0.15,10)))+1),0)</f>
        <v>1002</v>
      </c>
      <c r="O14" s="46">
        <v>4002</v>
      </c>
      <c r="P14" s="46">
        <f>ROUNDDOWN((BI14+AU14+AG14)/5,0)+(BJ14+AV14+AH14)+(BN14+AZ14+AL14)+(BO14+BA14+AM14)+(BK14+AW14+AI14)+(BS14+BE14+AQ14)+(BL14+AX14+AJ14)+(BQ14+BC14+AO14)+(2*((BT14+BF14+AR14)+(BU14+BG14+AS14)))+(CK14+CM14+CO14+CQ14+CS14+CU14)+(CL14*BY14)+(CN14*CA14)+(CP14+CC14)+(CR14+CE14)+(CT14+CG14)+(CV14+CI14)+BV14</f>
        <v>4067</v>
      </c>
      <c r="Q14" s="46">
        <f>ROUNDDOWN(((S14/5)+T14+X14+Y14+U14+AC14+V14+AA14+(2*(AD14+AE14))+CK14+CM14+CO14+CQ14+CS14+CU14+(CL14*BX14)+(CN14*BZ14)+(CP14*CB14)+(CR14*CD14)+(CT14*CF14)+(CV14*CH14))*CX14,0)</f>
        <v>3621</v>
      </c>
      <c r="R14" s="46">
        <f>ROUNDDOWN(AVERAGE(P14:Q14),0)</f>
        <v>3844</v>
      </c>
      <c r="S14" s="12">
        <f>AG14+AU14+BI14</f>
        <v>5996</v>
      </c>
      <c r="T14" s="12">
        <f>AH14+AV14+BJ14</f>
        <v>273</v>
      </c>
      <c r="U14" s="12">
        <f>AI14+AW14+BK14</f>
        <v>240</v>
      </c>
      <c r="V14" s="12">
        <f>AJ14+AX14+BL14</f>
        <v>0</v>
      </c>
      <c r="W14" s="12">
        <f>AK14+AY14+BM14</f>
        <v>78</v>
      </c>
      <c r="X14" s="12">
        <f>AL14+AZ14+BN14</f>
        <v>176</v>
      </c>
      <c r="Y14" s="12">
        <f>AM14+BA14+BO14</f>
        <v>0</v>
      </c>
      <c r="Z14" s="12">
        <f>AN14+BB14+BP14</f>
        <v>0</v>
      </c>
      <c r="AA14" s="12">
        <f>AO14+BC14+BQ14</f>
        <v>32</v>
      </c>
      <c r="AB14" s="12">
        <f>AP14+BD14+BR14</f>
        <v>12</v>
      </c>
      <c r="AC14" s="12">
        <f>AQ14+BE14+BS14</f>
        <v>166</v>
      </c>
      <c r="AD14" s="12">
        <f>AR14+BF14+BT14</f>
        <v>57</v>
      </c>
      <c r="AE14" s="12">
        <f>AS14+BG14+BU14</f>
        <v>160</v>
      </c>
      <c r="AF14" s="28"/>
      <c r="AG14" s="12">
        <v>0</v>
      </c>
      <c r="AH14" s="12">
        <v>51</v>
      </c>
      <c r="AI14" s="12">
        <v>45</v>
      </c>
      <c r="AJ14" s="12">
        <v>0</v>
      </c>
      <c r="AK14" s="12">
        <v>0</v>
      </c>
      <c r="AL14" s="12">
        <v>45</v>
      </c>
      <c r="AM14" s="12">
        <v>0</v>
      </c>
      <c r="AN14" s="12">
        <v>0</v>
      </c>
      <c r="AO14" s="12">
        <v>7</v>
      </c>
      <c r="AP14" s="12">
        <v>0</v>
      </c>
      <c r="AQ14" s="12">
        <v>25</v>
      </c>
      <c r="AR14" s="28"/>
      <c r="AS14" s="12">
        <v>40</v>
      </c>
      <c r="AT14" s="28"/>
      <c r="AU14" s="12">
        <f>IF($H14=3,IF(OR($F14="DDV",$F14="DDG",$F14="DD"),'Fleet Tech - Tech'!B$3,IF($F14="CL",'Fleet Tech - Tech'!B$4,IF($F14="CA",'Fleet Tech - Tech'!B$5,IF($F14="BC",'Fleet Tech - Tech'!B$6,IF($F14="BB",'Fleet Tech - Tech'!B$7,IF($F14="CVL",'Fleet Tech - Tech'!B$8,IF($F14="CV",'Fleet Tech - Tech'!B$9,IF($F14="SS",'Fleet Tech - Tech'!B$10,IF($F14="BBV",'Fleet Tech - Tech'!B$11,IF($F14="CB",'Fleet Tech - Tech'!B$15,IF($F14="AE",'Fleet Tech - Tech'!B$16,IF($F14="IX",'Fleet Tech - Tech'!B$17,IF($F14="BM",'Fleet Tech - Tech'!B$13,IF($F14="AR",'Fleet Tech - Tech'!B$12,IF($F14="SSV",'Fleet Tech - Tech'!B$14,"nil"))))))))))))))),0)</f>
        <v>57</v>
      </c>
      <c r="AV14" s="12">
        <f>IF($H14=3,IF(OR($F14="DDV",$F14="DDG",$F14="DD"),'Fleet Tech - Tech'!C$3,IF($F14="CL",'Fleet Tech - Tech'!C$4,IF($F14="CA",'Fleet Tech - Tech'!C$5,IF($F14="BC",'Fleet Tech - Tech'!C$6,IF($F14="BB",'Fleet Tech - Tech'!C$7,IF($F14="CVL",'Fleet Tech - Tech'!C$8,IF($F14="CV",'Fleet Tech - Tech'!C$9,IF($F14="SS",'Fleet Tech - Tech'!C$10,IF($F14="BBV",'Fleet Tech - Tech'!C$11,IF($F14="CB",'Fleet Tech - Tech'!C$15,IF($F14="AE",'Fleet Tech - Tech'!C$16,IF($F14="IX",'Fleet Tech - Tech'!C$17,IF($F14="BM",'Fleet Tech - Tech'!C$13,IF($F14="AR",'Fleet Tech - Tech'!C$12,IF($F14="SSV",'Fleet Tech - Tech'!C$14,"nil"))))))))))))))),0)</f>
        <v>3</v>
      </c>
      <c r="AW14" s="12">
        <f>IF($H14=3,IF(OR($F14="DDV",$F14="DDG",$F14="DD"),'Fleet Tech - Tech'!D$3,IF($F14="CL",'Fleet Tech - Tech'!D$4,IF($F14="CA",'Fleet Tech - Tech'!D$5,IF($F14="BC",'Fleet Tech - Tech'!D$6,IF($F14="BB",'Fleet Tech - Tech'!D$7,IF($F14="CVL",'Fleet Tech - Tech'!D$8,IF($F14="CV",'Fleet Tech - Tech'!D$9,IF($F14="SS",'Fleet Tech - Tech'!D$10,IF($F14="BBV",'Fleet Tech - Tech'!D$11,IF($F14="CB",'Fleet Tech - Tech'!D$15,IF($F14="AE",'Fleet Tech - Tech'!D$16,IF($F14="IX",'Fleet Tech - Tech'!D$17,IF($F14="BM",'Fleet Tech - Tech'!D$13,IF($F14="AR",'Fleet Tech - Tech'!D$12,IF($F14="SSV",'Fleet Tech - Tech'!D$14,"nil"))))))))))))))),0)</f>
        <v>0</v>
      </c>
      <c r="AX14" s="12">
        <f>IF($H14=3,IF(OR($F14="DDV",$F14="DDG",$F14="DD"),'Fleet Tech - Tech'!E$3,IF($F14="CL",'Fleet Tech - Tech'!E$4,IF($F14="CA",'Fleet Tech - Tech'!E$5,IF($F14="BC",'Fleet Tech - Tech'!E$6,IF($F14="BB",'Fleet Tech - Tech'!E$7,IF($F14="CVL",'Fleet Tech - Tech'!E$8,IF($F14="CV",'Fleet Tech - Tech'!E$9,IF($F14="SS",'Fleet Tech - Tech'!E$10,IF($F14="BBV",'Fleet Tech - Tech'!E$11,IF($F14="CB",'Fleet Tech - Tech'!E$15,IF($F14="AE",'Fleet Tech - Tech'!E$16,IF($F14="IX",'Fleet Tech - Tech'!E$17,IF($F14="BM",'Fleet Tech - Tech'!E$13,IF($F14="AR",'Fleet Tech - Tech'!E$12,IF($F14="SSV",'Fleet Tech - Tech'!E$14,"nil"))))))))))))))),0)</f>
        <v>0</v>
      </c>
      <c r="AY14" s="12">
        <f>IF($H14=3,IF(OR($F14="DDV",$F14="DDG",$F14="DD"),'Fleet Tech - Tech'!F$3,IF($F14="CL",'Fleet Tech - Tech'!F$4,IF($F14="CA",'Fleet Tech - Tech'!F$5,IF($F14="BC",'Fleet Tech - Tech'!F$6,IF($F14="BB",'Fleet Tech - Tech'!F$7,IF($F14="CVL",'Fleet Tech - Tech'!F$8,IF($F14="CV",'Fleet Tech - Tech'!F$9,IF($F14="SS",'Fleet Tech - Tech'!F$10,IF($F14="BBV",'Fleet Tech - Tech'!F$11,IF($F14="CB",'Fleet Tech - Tech'!F$15,IF($F14="AE",'Fleet Tech - Tech'!F$16,IF($F14="IX",'Fleet Tech - Tech'!F$17,IF($F14="BM",'Fleet Tech - Tech'!F$13,IF($F14="AR",'Fleet Tech - Tech'!F$12,IF($F14="SSV",'Fleet Tech - Tech'!F$14,"nil"))))))))))))))),0)</f>
        <v>0</v>
      </c>
      <c r="AZ14" s="12">
        <f>IF($H14=3,IF(OR($F14="DDV",$F14="DDG",$F14="DD"),'Fleet Tech - Tech'!G$3,IF($F14="CL",'Fleet Tech - Tech'!G$4,IF($F14="CA",'Fleet Tech - Tech'!G$5,IF($F14="BC",'Fleet Tech - Tech'!G$6,IF($F14="BB",'Fleet Tech - Tech'!G$7,IF($F14="CVL",'Fleet Tech - Tech'!G$8,IF($F14="CV",'Fleet Tech - Tech'!G$9,IF($F14="SS",'Fleet Tech - Tech'!G$10,IF($F14="BBV",'Fleet Tech - Tech'!G$11,IF($F14="CB",'Fleet Tech - Tech'!G$15,IF($F14="AE",'Fleet Tech - Tech'!G$16,IF($F14="IX",'Fleet Tech - Tech'!G$17,IF($F14="BM",'Fleet Tech - Tech'!G$13,IF($F14="AR",'Fleet Tech - Tech'!G$12,IF($F14="SSV",'Fleet Tech - Tech'!G$14,"nil"))))))))))))))),0)</f>
        <v>6</v>
      </c>
      <c r="BA14" s="12">
        <f>IF($H14=3,IF(OR($F14="DDV",$F14="DDG",$F14="DD"),'Fleet Tech - Tech'!H$3,IF($F14="CL",'Fleet Tech - Tech'!H$4,IF($F14="CA",'Fleet Tech - Tech'!H$5,IF($F14="BC",'Fleet Tech - Tech'!H$6,IF($F14="BB",'Fleet Tech - Tech'!H$7,IF($F14="CVL",'Fleet Tech - Tech'!H$8,IF($F14="CV",'Fleet Tech - Tech'!H$9,IF($F14="SS",'Fleet Tech - Tech'!H$10,IF($F14="BBV",'Fleet Tech - Tech'!H$11,IF($F14="CB",'Fleet Tech - Tech'!H$15,IF($F14="AE",'Fleet Tech - Tech'!H$16,IF($F14="IX",'Fleet Tech - Tech'!H$17,IF($F14="BM",'Fleet Tech - Tech'!H$13,IF($F14="AR",'Fleet Tech - Tech'!H$12,IF($F14="SSV",'Fleet Tech - Tech'!H$14,"nil"))))))))))))))),0)</f>
        <v>0</v>
      </c>
      <c r="BB14" s="12">
        <f>IF($H14=3,IF(OR($F14="DDV",$F14="DDG",$F14="DD"),'Fleet Tech - Tech'!I$3,IF($F14="CL",'Fleet Tech - Tech'!I$4,IF($F14="CA",'Fleet Tech - Tech'!I$5,IF($F14="BC",'Fleet Tech - Tech'!I$6,IF($F14="BB",'Fleet Tech - Tech'!I$7,IF($F14="CVL",'Fleet Tech - Tech'!I$8,IF($F14="CV",'Fleet Tech - Tech'!I$9,IF($F14="SS",'Fleet Tech - Tech'!I$10,IF($F14="BBV",'Fleet Tech - Tech'!I$11,IF($F14="CB",'Fleet Tech - Tech'!I$15,IF($F14="AE",'Fleet Tech - Tech'!I$16,IF($F14="IX",'Fleet Tech - Tech'!I$17,IF($F14="BM",'Fleet Tech - Tech'!I$13,IF($F14="AR",'Fleet Tech - Tech'!I$12,IF($F14="SSV",'Fleet Tech - Tech'!I$14,"nil"))))))))))))))),0)</f>
        <v>0</v>
      </c>
      <c r="BC14" s="12">
        <f>IF($H14=3,IF(OR($F14="DDV",$F14="DDG",$F14="DD"),'Fleet Tech - Tech'!J$3,IF($F14="CL",'Fleet Tech - Tech'!J$4,IF($F14="CA",'Fleet Tech - Tech'!J$5,IF($F14="BC",'Fleet Tech - Tech'!J$6,IF($F14="BB",'Fleet Tech - Tech'!J$7,IF($F14="CVL",'Fleet Tech - Tech'!J$8,IF($F14="CV",'Fleet Tech - Tech'!J$9,IF($F14="SS",'Fleet Tech - Tech'!J$10,IF($F14="BBV",'Fleet Tech - Tech'!J$11,IF($F14="CB",'Fleet Tech - Tech'!J$15,IF($F14="AE",'Fleet Tech - Tech'!J$16,IF($F14="IX",'Fleet Tech - Tech'!J$17,IF($F14="BM",'Fleet Tech - Tech'!J$13,IF($F14="AR",'Fleet Tech - Tech'!J$12,IF($F14="SSV",'Fleet Tech - Tech'!J$14,"nil"))))))))))))))),0)</f>
        <v>0</v>
      </c>
      <c r="BD14" s="12">
        <f>IF($H14=3,IF(OR($F14="DDV",$F14="DDG",$F14="DD"),'Fleet Tech - Tech'!K$3,IF($F14="CL",'Fleet Tech - Tech'!K$4,IF($F14="CA",'Fleet Tech - Tech'!K$5,IF($F14="BC",'Fleet Tech - Tech'!K$6,IF($F14="BB",'Fleet Tech - Tech'!K$7,IF($F14="CVL",'Fleet Tech - Tech'!K$8,IF($F14="CV",'Fleet Tech - Tech'!K$9,IF($F14="SS",'Fleet Tech - Tech'!K$10,IF($F14="BBV",'Fleet Tech - Tech'!K$11,IF($F14="CB",'Fleet Tech - Tech'!K$15,IF($F14="AE",'Fleet Tech - Tech'!K$16,IF($F14="IX",'Fleet Tech - Tech'!K$17,IF($F14="BM",'Fleet Tech - Tech'!K$13,IF($F14="AR",'Fleet Tech - Tech'!K$12,IF($F14="SSV",'Fleet Tech - Tech'!K$14,"nil"))))))))))))))),0)</f>
        <v>0</v>
      </c>
      <c r="BE14" s="12">
        <f>IF($H14=3,IF(OR($F14="DDV",$F14="DDG",$F14="DD"),'Fleet Tech - Tech'!L$3,IF($F14="CL",'Fleet Tech - Tech'!L$4,IF($F14="CA",'Fleet Tech - Tech'!L$5,IF($F14="BC",'Fleet Tech - Tech'!L$6,IF($F14="BB",'Fleet Tech - Tech'!L$7,IF($F14="CVL",'Fleet Tech - Tech'!L$8,IF($F14="CV",'Fleet Tech - Tech'!L$9,IF($F14="SS",'Fleet Tech - Tech'!L$10,IF($F14="BBV",'Fleet Tech - Tech'!L$11,IF($F14="CB",'Fleet Tech - Tech'!L$15,IF($F14="AE",'Fleet Tech - Tech'!L$16,IF($F14="IX",'Fleet Tech - Tech'!L$17,IF($F14="BM",'Fleet Tech - Tech'!L$13,IF($F14="AR",'Fleet Tech - Tech'!L$12,IF($F14="SSV",'Fleet Tech - Tech'!L$14,"nil"))))))))))))))),0)</f>
        <v>1</v>
      </c>
      <c r="BF14" s="12">
        <f>IF($H14=3,IF(OR($F14="DDV",$F14="DDG",$F14="DD"),'Fleet Tech - Tech'!M$3,IF($F14="CL",'Fleet Tech - Tech'!M$4,IF($F14="CA",'Fleet Tech - Tech'!M$5,IF($F14="BC",'Fleet Tech - Tech'!M$6,IF($F14="BB",'Fleet Tech - Tech'!M$7,IF($F14="CVL",'Fleet Tech - Tech'!M$8,IF($F14="CV",'Fleet Tech - Tech'!M$9,IF($F14="SS",'Fleet Tech - Tech'!M$10,IF($F14="BBV",'Fleet Tech - Tech'!M$11,IF($F14="CB",'Fleet Tech - Tech'!M$15,IF($F14="AE",'Fleet Tech - Tech'!M$16,IF($F14="IX",'Fleet Tech - Tech'!M$17,IF($F14="BM",'Fleet Tech - Tech'!M$13,IF($F14="AR",'Fleet Tech - Tech'!M$12,IF($F14="SSV",'Fleet Tech - Tech'!M$14,"nil"))))))))))))))),0)</f>
        <v>0</v>
      </c>
      <c r="BG14" s="12">
        <f>IF($H14=3,IF(OR($F14="DDV",$F14="DDG",$F14="DD"),'Fleet Tech - Tech'!N$3,IF($F14="CL",'Fleet Tech - Tech'!N$4,IF($F14="CA",'Fleet Tech - Tech'!N$5,IF($F14="BC",'Fleet Tech - Tech'!N$6,IF($F14="BB",'Fleet Tech - Tech'!N$7,IF($F14="CVL",'Fleet Tech - Tech'!N$8,IF($F14="CV",'Fleet Tech - Tech'!N$9,IF($F14="SS",'Fleet Tech - Tech'!N$10,IF($F14="BBV",'Fleet Tech - Tech'!N$11,IF($F14="CB",'Fleet Tech - Tech'!N$15,IF($F14="AE",'Fleet Tech - Tech'!N$16,IF($F14="IX",'Fleet Tech - Tech'!N$17,IF($F14="BM",'Fleet Tech - Tech'!N$13,IF($F14="AR",'Fleet Tech - Tech'!N$12,IF($F14="SSV",'Fleet Tech - Tech'!N$14,"nil"))))))))))))))),0)</f>
        <v>0</v>
      </c>
      <c r="BH14" s="28"/>
      <c r="BI14" s="12">
        <v>5939</v>
      </c>
      <c r="BJ14" s="12">
        <v>219</v>
      </c>
      <c r="BK14" s="12">
        <v>195</v>
      </c>
      <c r="BL14" s="12">
        <v>0</v>
      </c>
      <c r="BM14" s="12">
        <v>78</v>
      </c>
      <c r="BN14" s="12">
        <v>125</v>
      </c>
      <c r="BO14" s="12">
        <v>0</v>
      </c>
      <c r="BP14" s="12">
        <v>0</v>
      </c>
      <c r="BQ14" s="12">
        <v>25</v>
      </c>
      <c r="BR14" s="12">
        <v>12</v>
      </c>
      <c r="BS14" s="12">
        <v>140</v>
      </c>
      <c r="BT14" s="12">
        <v>57</v>
      </c>
      <c r="BU14" s="12">
        <v>120</v>
      </c>
      <c r="BV14" s="12">
        <v>335</v>
      </c>
      <c r="BW14" s="28"/>
      <c r="BX14" s="12">
        <v>4</v>
      </c>
      <c r="BY14" s="12">
        <v>10</v>
      </c>
      <c r="BZ14" s="12">
        <v>4</v>
      </c>
      <c r="CA14" s="12">
        <v>10</v>
      </c>
      <c r="CB14" s="12">
        <v>4</v>
      </c>
      <c r="CC14" s="12">
        <v>10</v>
      </c>
      <c r="CD14" s="12">
        <v>3</v>
      </c>
      <c r="CE14" s="12">
        <v>7</v>
      </c>
      <c r="CF14" s="12">
        <v>3</v>
      </c>
      <c r="CG14" s="12">
        <v>8</v>
      </c>
      <c r="CH14" s="12">
        <v>-1</v>
      </c>
      <c r="CI14" s="12">
        <v>-1</v>
      </c>
      <c r="CJ14" s="47"/>
      <c r="CK14" s="48">
        <f>IF(BX14=5,320,IF(BX14=4,195,IF(BX14=3,132,IF(BX14=2,90,IF(BX14=1,58,IF(BX14=-1,0,35))))))</f>
        <v>195</v>
      </c>
      <c r="CL14" s="48">
        <f>IF(BX14=5,20,IF(BX14=4,15,IF(BX14=3,12,IF(BX14=2,10,IF(BX14=1,8,IF(BX14=-1,0,5))))))</f>
        <v>15</v>
      </c>
      <c r="CM14" s="48">
        <f>IF(BZ14=5,320,IF(BZ14=4,195,IF(BZ14=3,132,IF(BZ14=2,90,IF(BZ14=1,58,IF(BZ14=-1,0,35))))))</f>
        <v>195</v>
      </c>
      <c r="CN14" s="48">
        <f>IF(BZ14=5,20,IF(BZ14=4,15,IF(BZ14=3,12,IF(BZ14=2,10,IF(BZ14=1,8,IF(BZ14=-1,0,5))))))</f>
        <v>15</v>
      </c>
      <c r="CO14" s="48">
        <f>IF(CB14=5,320,IF(CB14=4,195,IF(CB14=3,132,IF(CB14=2,90,IF(CB14=1,58,IF(CB14=-1,0,35))))))</f>
        <v>195</v>
      </c>
      <c r="CP14" s="48">
        <f>IF(CB14=5,20,IF(CB14=4,15,IF(CB14=3,12,IF(CB14=2,10,IF(CB14=1,8,IF(CB14=-1,0,5))))))</f>
        <v>15</v>
      </c>
      <c r="CQ14" s="48">
        <f>IF(CD14=5,320,IF(CD14=4,195,IF(CD14=3,132,IF(CD14=2,90,IF(CD14=1,58,IF(CD14=-1,0,35))))))</f>
        <v>132</v>
      </c>
      <c r="CR14" s="48">
        <f>IF(CD14=5,20,IF(CD14=4,15,IF(CD14=3,12,IF(CD14=2,10,IF(CD14=1,8,IF(CD14=-1,0,5))))))</f>
        <v>12</v>
      </c>
      <c r="CS14" s="48">
        <f>IF(CF14=5,320,IF(CF14=4,195,IF(CF14=3,132,IF(CF14=2,90,IF(CF14=1,58,IF(CF14=-1,0,35))))))</f>
        <v>132</v>
      </c>
      <c r="CT14" s="48">
        <f>IF(CF14=5,20,IF(CF14=4,15,IF(CF14=3,12,IF(CF14=2,10,IF(CF14=1,8,IF(CF14=-1,0,5))))))</f>
        <v>12</v>
      </c>
      <c r="CU14" s="48">
        <f>IF(CH14=5,320,IF(CH14=4,195,IF(CH14=3,132,IF(CH14=2,90,IF(CH14=1,58,IF(CH14=-1,0,35))))))</f>
        <v>0</v>
      </c>
      <c r="CV14" s="48">
        <f>IF(CH14=5,20,IF(CH14=4,15,IF(CH14=3,12,IF(CH14=2,10,IF(CH14=1,8,IF(CH14=-1,0,5))))))</f>
        <v>0</v>
      </c>
      <c r="CW14" s="48">
        <f>IF(BY14&gt;10,(BY14/10)-ROUNDDOWN(BY14/10,0),0)+IF(CA14&gt;10,(CA14/10)-ROUNDDOWN(CA14/10,0),0)+IF(CC14&gt;10,(CC14/10)-ROUNDDOWN(CC14/10,0),0)+IF(CE14&gt;10,(CE14/10)-ROUNDDOWN(CE14/10,0),0)+IF(CG14&gt;10,(CG14/10)-ROUNDDOWN(CG14/10,0),0)+IF(CI14&gt;10,(CI14/10)-ROUNDDOWN(CI14/10,0),0)</f>
        <v>0</v>
      </c>
      <c r="CX14" s="48">
        <f>1+(CW14/10)</f>
        <v>1</v>
      </c>
    </row>
    <row r="15" ht="20.05" customHeight="1">
      <c r="A15" t="s" s="43">
        <v>276</v>
      </c>
      <c r="B15" s="49"/>
      <c r="C15" t="s" s="45">
        <v>73</v>
      </c>
      <c r="D15" s="13">
        <v>2</v>
      </c>
      <c r="E15" t="s" s="15">
        <v>258</v>
      </c>
      <c r="F15" t="s" s="15">
        <v>268</v>
      </c>
      <c r="G15" t="s" s="15">
        <v>253</v>
      </c>
      <c r="H15" s="12">
        <v>3</v>
      </c>
      <c r="I15" t="s" s="15">
        <v>277</v>
      </c>
      <c r="J15" s="12">
        <v>105</v>
      </c>
      <c r="K15" t="s" s="14">
        <v>236</v>
      </c>
      <c r="L15" t="s" s="15">
        <v>237</v>
      </c>
      <c r="M15" t="s" s="15">
        <v>25</v>
      </c>
      <c r="N15" s="46">
        <f>ROUND((SUM(AA15,T15:Y15,AC15:AE15,Z15*10)-AB15*15)*(IF(K15="Heavy",0.15,IF(K15="Medium",0,IF(K15="Light",-0.15,10)))+1),0)</f>
        <v>717</v>
      </c>
      <c r="O15" s="46">
        <v>1151</v>
      </c>
      <c r="P15" s="46">
        <f>ROUNDDOWN((BI15+AU15+AG15)/5,0)+(BJ15+AV15+AH15)+(BN15+AZ15+AL15)+(BO15+BA15+AM15)+(BK15+AW15+AI15)+(BS15+BE15+AQ15)+(BL15+AX15+AJ15)+(BQ15+BC15+AO15)+(2*((BT15+BF15+AR15)+(BU15+BG15+AS15)))+(CK15+CM15+CO15+CQ15+CS15+CU15)+(CL15*BY15)+(CN15*CA15)+(CP15+CC15)+(CR15+CE15)+(CT15+CG15)+(CV15+CI15)+BV15</f>
        <v>1679</v>
      </c>
      <c r="Q15" s="46">
        <f>ROUNDDOWN(((S15/5)+T15+X15+Y15+U15+AC15+V15+AA15+(2*(AD15+AE15))+CK15+CM15+CO15+CQ15+CS15+CU15+(CL15*BX15)+(CN15*BZ15)+(CP15*CB15)+(CR15*CD15)+(CT15*CF15)+(CV15*CH15))*CX15,0)</f>
        <v>1348</v>
      </c>
      <c r="R15" s="46">
        <f>ROUNDDOWN(AVERAGE(P15:Q15),0)</f>
        <v>1513</v>
      </c>
      <c r="S15" s="12">
        <f>AG15+AU15+BI15</f>
        <v>1204</v>
      </c>
      <c r="T15" s="12">
        <f>AH15+AV15+BJ15</f>
        <v>35</v>
      </c>
      <c r="U15" s="12">
        <f>AI15+AW15+BK15</f>
        <v>0</v>
      </c>
      <c r="V15" s="12">
        <f>AJ15+AX15+BL15</f>
        <v>188</v>
      </c>
      <c r="W15" s="12">
        <f>AK15+AY15+BM15</f>
        <v>18</v>
      </c>
      <c r="X15" s="12">
        <f>AL15+AZ15+BN15</f>
        <v>389</v>
      </c>
      <c r="Y15" s="12">
        <f>AM15+BA15+BO15</f>
        <v>0</v>
      </c>
      <c r="Z15" s="12">
        <f>AN15+BB15+BP15</f>
        <v>2</v>
      </c>
      <c r="AA15" s="12">
        <f>AO15+BC15+BQ15</f>
        <v>14</v>
      </c>
      <c r="AB15" s="12">
        <f>AP15+BD15+BR15</f>
        <v>6</v>
      </c>
      <c r="AC15" s="12">
        <f>AQ15+BE15+BS15</f>
        <v>56</v>
      </c>
      <c r="AD15" s="12">
        <f>AR15+BF15+BT15</f>
        <v>50</v>
      </c>
      <c r="AE15" s="12">
        <f>AS15+BG15+BU15</f>
        <v>163</v>
      </c>
      <c r="AF15" s="28"/>
      <c r="AG15" s="12">
        <v>0</v>
      </c>
      <c r="AH15" s="12">
        <v>0</v>
      </c>
      <c r="AI15" s="12">
        <v>0</v>
      </c>
      <c r="AJ15" s="12">
        <v>0</v>
      </c>
      <c r="AK15" s="12">
        <v>0</v>
      </c>
      <c r="AL15" s="12">
        <v>0</v>
      </c>
      <c r="AM15" s="12">
        <v>0</v>
      </c>
      <c r="AN15" s="12">
        <v>0</v>
      </c>
      <c r="AO15" s="12">
        <v>0</v>
      </c>
      <c r="AP15" s="12">
        <v>0</v>
      </c>
      <c r="AQ15" s="12">
        <v>0</v>
      </c>
      <c r="AR15" s="12">
        <v>0</v>
      </c>
      <c r="AS15" s="12">
        <v>0</v>
      </c>
      <c r="AT15" s="28"/>
      <c r="AU15" s="12">
        <f>IF($H15=3,IF(OR($F15="DDV",$F15="DDG",$F15="DD"),'Fleet Tech - Tech'!B$3,IF($F15="CL",'Fleet Tech - Tech'!B$4,IF($F15="CA",'Fleet Tech - Tech'!B$5,IF($F15="BC",'Fleet Tech - Tech'!B$6,IF($F15="BB",'Fleet Tech - Tech'!B$7,IF($F15="CVL",'Fleet Tech - Tech'!B$8,IF($F15="CV",'Fleet Tech - Tech'!B$9,IF($F15="SS",'Fleet Tech - Tech'!B$10,IF($F15="BBV",'Fleet Tech - Tech'!B$11,IF($F15="CB",'Fleet Tech - Tech'!B$15,IF($F15="AE",'Fleet Tech - Tech'!B$16,IF($F15="IX",'Fleet Tech - Tech'!B$17,IF($F15="BM",'Fleet Tech - Tech'!B$13,IF($F15="AR",'Fleet Tech - Tech'!B$12,IF($F15="SSV",'Fleet Tech - Tech'!B$14,"nil"))))))))))))))),0)</f>
        <v>35</v>
      </c>
      <c r="AV15" s="12">
        <f>IF($H15=3,IF(OR($F15="DDV",$F15="DDG",$F15="DD"),'Fleet Tech - Tech'!C$3,IF($F15="CL",'Fleet Tech - Tech'!C$4,IF($F15="CA",'Fleet Tech - Tech'!C$5,IF($F15="BC",'Fleet Tech - Tech'!C$6,IF($F15="BB",'Fleet Tech - Tech'!C$7,IF($F15="CVL",'Fleet Tech - Tech'!C$8,IF($F15="CV",'Fleet Tech - Tech'!C$9,IF($F15="SS",'Fleet Tech - Tech'!C$10,IF($F15="BBV",'Fleet Tech - Tech'!C$11,IF($F15="CB",'Fleet Tech - Tech'!C$15,IF($F15="AE",'Fleet Tech - Tech'!C$16,IF($F15="IX",'Fleet Tech - Tech'!C$17,IF($F15="BM",'Fleet Tech - Tech'!C$13,IF($F15="AR",'Fleet Tech - Tech'!C$12,IF($F15="SSV",'Fleet Tech - Tech'!C$14,"nil"))))))))))))))),0)</f>
        <v>2</v>
      </c>
      <c r="AW15" s="12">
        <f>IF($H15=3,IF(OR($F15="DDV",$F15="DDG",$F15="DD"),'Fleet Tech - Tech'!D$3,IF($F15="CL",'Fleet Tech - Tech'!D$4,IF($F15="CA",'Fleet Tech - Tech'!D$5,IF($F15="BC",'Fleet Tech - Tech'!D$6,IF($F15="BB",'Fleet Tech - Tech'!D$7,IF($F15="CVL",'Fleet Tech - Tech'!D$8,IF($F15="CV",'Fleet Tech - Tech'!D$9,IF($F15="SS",'Fleet Tech - Tech'!D$10,IF($F15="BBV",'Fleet Tech - Tech'!D$11,IF($F15="CB",'Fleet Tech - Tech'!D$15,IF($F15="AE",'Fleet Tech - Tech'!D$16,IF($F15="IX",'Fleet Tech - Tech'!D$17,IF($F15="BM",'Fleet Tech - Tech'!D$13,IF($F15="AR",'Fleet Tech - Tech'!D$12,IF($F15="SSV",'Fleet Tech - Tech'!D$14,"nil"))))))))))))))),0)</f>
        <v>0</v>
      </c>
      <c r="AX15" s="12">
        <f>IF($H15=3,IF(OR($F15="DDV",$F15="DDG",$F15="DD"),'Fleet Tech - Tech'!E$3,IF($F15="CL",'Fleet Tech - Tech'!E$4,IF($F15="CA",'Fleet Tech - Tech'!E$5,IF($F15="BC",'Fleet Tech - Tech'!E$6,IF($F15="BB",'Fleet Tech - Tech'!E$7,IF($F15="CVL",'Fleet Tech - Tech'!E$8,IF($F15="CV",'Fleet Tech - Tech'!E$9,IF($F15="SS",'Fleet Tech - Tech'!E$10,IF($F15="BBV",'Fleet Tech - Tech'!E$11,IF($F15="CB",'Fleet Tech - Tech'!E$15,IF($F15="AE",'Fleet Tech - Tech'!E$16,IF($F15="IX",'Fleet Tech - Tech'!E$17,IF($F15="BM",'Fleet Tech - Tech'!E$13,IF($F15="AR",'Fleet Tech - Tech'!E$12,IF($F15="SSV",'Fleet Tech - Tech'!E$14,"nil"))))))))))))))),0)</f>
        <v>0</v>
      </c>
      <c r="AY15" s="12">
        <f>IF($H15=3,IF(OR($F15="DDV",$F15="DDG",$F15="DD"),'Fleet Tech - Tech'!F$3,IF($F15="CL",'Fleet Tech - Tech'!F$4,IF($F15="CA",'Fleet Tech - Tech'!F$5,IF($F15="BC",'Fleet Tech - Tech'!F$6,IF($F15="BB",'Fleet Tech - Tech'!F$7,IF($F15="CVL",'Fleet Tech - Tech'!F$8,IF($F15="CV",'Fleet Tech - Tech'!F$9,IF($F15="SS",'Fleet Tech - Tech'!F$10,IF($F15="BBV",'Fleet Tech - Tech'!F$11,IF($F15="CB",'Fleet Tech - Tech'!F$15,IF($F15="AE",'Fleet Tech - Tech'!F$16,IF($F15="IX",'Fleet Tech - Tech'!F$17,IF($F15="BM",'Fleet Tech - Tech'!F$13,IF($F15="AR",'Fleet Tech - Tech'!F$12,IF($F15="SSV",'Fleet Tech - Tech'!F$14,"nil"))))))))))))))),0)</f>
        <v>0</v>
      </c>
      <c r="AZ15" s="12">
        <f>IF($H15=3,IF(OR($F15="DDV",$F15="DDG",$F15="DD"),'Fleet Tech - Tech'!G$3,IF($F15="CL",'Fleet Tech - Tech'!G$4,IF($F15="CA",'Fleet Tech - Tech'!G$5,IF($F15="BC",'Fleet Tech - Tech'!G$6,IF($F15="BB",'Fleet Tech - Tech'!G$7,IF($F15="CVL",'Fleet Tech - Tech'!G$8,IF($F15="CV",'Fleet Tech - Tech'!G$9,IF($F15="SS",'Fleet Tech - Tech'!G$10,IF($F15="BBV",'Fleet Tech - Tech'!G$11,IF($F15="CB",'Fleet Tech - Tech'!G$15,IF($F15="AE",'Fleet Tech - Tech'!G$16,IF($F15="IX",'Fleet Tech - Tech'!G$17,IF($F15="BM",'Fleet Tech - Tech'!G$13,IF($F15="AR",'Fleet Tech - Tech'!G$12,IF($F15="SSV",'Fleet Tech - Tech'!G$14,"nil"))))))))))))))),0)</f>
        <v>9</v>
      </c>
      <c r="BA15" s="12">
        <f>IF($H15=3,IF(OR($F15="DDV",$F15="DDG",$F15="DD"),'Fleet Tech - Tech'!H$3,IF($F15="CL",'Fleet Tech - Tech'!H$4,IF($F15="CA",'Fleet Tech - Tech'!H$5,IF($F15="BC",'Fleet Tech - Tech'!H$6,IF($F15="BB",'Fleet Tech - Tech'!H$7,IF($F15="CVL",'Fleet Tech - Tech'!H$8,IF($F15="CV",'Fleet Tech - Tech'!H$9,IF($F15="SS",'Fleet Tech - Tech'!H$10,IF($F15="BBV",'Fleet Tech - Tech'!H$11,IF($F15="CB",'Fleet Tech - Tech'!H$15,IF($F15="AE",'Fleet Tech - Tech'!H$16,IF($F15="IX",'Fleet Tech - Tech'!H$17,IF($F15="BM",'Fleet Tech - Tech'!H$13,IF($F15="AR",'Fleet Tech - Tech'!H$12,IF($F15="SSV",'Fleet Tech - Tech'!H$14,"nil"))))))))))))))),0)</f>
        <v>0</v>
      </c>
      <c r="BB15" s="12">
        <f>IF($H15=3,IF(OR($F15="DDV",$F15="DDG",$F15="DD"),'Fleet Tech - Tech'!I$3,IF($F15="CL",'Fleet Tech - Tech'!I$4,IF($F15="CA",'Fleet Tech - Tech'!I$5,IF($F15="BC",'Fleet Tech - Tech'!I$6,IF($F15="BB",'Fleet Tech - Tech'!I$7,IF($F15="CVL",'Fleet Tech - Tech'!I$8,IF($F15="CV",'Fleet Tech - Tech'!I$9,IF($F15="SS",'Fleet Tech - Tech'!I$10,IF($F15="BBV",'Fleet Tech - Tech'!I$11,IF($F15="CB",'Fleet Tech - Tech'!I$15,IF($F15="AE",'Fleet Tech - Tech'!I$16,IF($F15="IX",'Fleet Tech - Tech'!I$17,IF($F15="BM",'Fleet Tech - Tech'!I$13,IF($F15="AR",'Fleet Tech - Tech'!I$12,IF($F15="SSV",'Fleet Tech - Tech'!I$14,"nil"))))))))))))))),0)</f>
        <v>0</v>
      </c>
      <c r="BC15" s="12">
        <f>IF($H15=3,IF(OR($F15="DDV",$F15="DDG",$F15="DD"),'Fleet Tech - Tech'!J$3,IF($F15="CL",'Fleet Tech - Tech'!J$4,IF($F15="CA",'Fleet Tech - Tech'!J$5,IF($F15="BC",'Fleet Tech - Tech'!J$6,IF($F15="BB",'Fleet Tech - Tech'!J$7,IF($F15="CVL",'Fleet Tech - Tech'!J$8,IF($F15="CV",'Fleet Tech - Tech'!J$9,IF($F15="SS",'Fleet Tech - Tech'!J$10,IF($F15="BBV",'Fleet Tech - Tech'!J$11,IF($F15="CB",'Fleet Tech - Tech'!J$15,IF($F15="AE",'Fleet Tech - Tech'!J$16,IF($F15="IX",'Fleet Tech - Tech'!J$17,IF($F15="BM",'Fleet Tech - Tech'!J$13,IF($F15="AR",'Fleet Tech - Tech'!J$12,IF($F15="SSV",'Fleet Tech - Tech'!J$14,"nil"))))))))))))))),0)</f>
        <v>0</v>
      </c>
      <c r="BD15" s="12">
        <f>IF($H15=3,IF(OR($F15="DDV",$F15="DDG",$F15="DD"),'Fleet Tech - Tech'!K$3,IF($F15="CL",'Fleet Tech - Tech'!K$4,IF($F15="CA",'Fleet Tech - Tech'!K$5,IF($F15="BC",'Fleet Tech - Tech'!K$6,IF($F15="BB",'Fleet Tech - Tech'!K$7,IF($F15="CVL",'Fleet Tech - Tech'!K$8,IF($F15="CV",'Fleet Tech - Tech'!K$9,IF($F15="SS",'Fleet Tech - Tech'!K$10,IF($F15="BBV",'Fleet Tech - Tech'!K$11,IF($F15="CB",'Fleet Tech - Tech'!K$15,IF($F15="AE",'Fleet Tech - Tech'!K$16,IF($F15="IX",'Fleet Tech - Tech'!K$17,IF($F15="BM",'Fleet Tech - Tech'!K$13,IF($F15="AR",'Fleet Tech - Tech'!K$12,IF($F15="SSV",'Fleet Tech - Tech'!K$14,"nil"))))))))))))))),0)</f>
        <v>0</v>
      </c>
      <c r="BE15" s="12">
        <f>IF($H15=3,IF(OR($F15="DDV",$F15="DDG",$F15="DD"),'Fleet Tech - Tech'!L$3,IF($F15="CL",'Fleet Tech - Tech'!L$4,IF($F15="CA",'Fleet Tech - Tech'!L$5,IF($F15="BC",'Fleet Tech - Tech'!L$6,IF($F15="BB",'Fleet Tech - Tech'!L$7,IF($F15="CVL",'Fleet Tech - Tech'!L$8,IF($F15="CV",'Fleet Tech - Tech'!L$9,IF($F15="SS",'Fleet Tech - Tech'!L$10,IF($F15="BBV",'Fleet Tech - Tech'!L$11,IF($F15="CB",'Fleet Tech - Tech'!L$15,IF($F15="AE",'Fleet Tech - Tech'!L$16,IF($F15="IX",'Fleet Tech - Tech'!L$17,IF($F15="BM",'Fleet Tech - Tech'!L$13,IF($F15="AR",'Fleet Tech - Tech'!L$12,IF($F15="SSV",'Fleet Tech - Tech'!L$14,"nil"))))))))))))))),0)</f>
        <v>0</v>
      </c>
      <c r="BF15" s="12">
        <f>IF($H15=3,IF(OR($F15="DDV",$F15="DDG",$F15="DD"),'Fleet Tech - Tech'!M$3,IF($F15="CL",'Fleet Tech - Tech'!M$4,IF($F15="CA",'Fleet Tech - Tech'!M$5,IF($F15="BC",'Fleet Tech - Tech'!M$6,IF($F15="BB",'Fleet Tech - Tech'!M$7,IF($F15="CVL",'Fleet Tech - Tech'!M$8,IF($F15="CV",'Fleet Tech - Tech'!M$9,IF($F15="SS",'Fleet Tech - Tech'!M$10,IF($F15="BBV",'Fleet Tech - Tech'!M$11,IF($F15="CB",'Fleet Tech - Tech'!M$15,IF($F15="AE",'Fleet Tech - Tech'!M$16,IF($F15="IX",'Fleet Tech - Tech'!M$17,IF($F15="BM",'Fleet Tech - Tech'!M$13,IF($F15="AR",'Fleet Tech - Tech'!M$12,IF($F15="SSV",'Fleet Tech - Tech'!M$14,"nil"))))))))))))))),0)</f>
        <v>17</v>
      </c>
      <c r="BG15" s="12">
        <f>IF($H15=3,IF(OR($F15="DDV",$F15="DDG",$F15="DD"),'Fleet Tech - Tech'!N$3,IF($F15="CL",'Fleet Tech - Tech'!N$4,IF($F15="CA",'Fleet Tech - Tech'!N$5,IF($F15="BC",'Fleet Tech - Tech'!N$6,IF($F15="BB",'Fleet Tech - Tech'!N$7,IF($F15="CVL",'Fleet Tech - Tech'!N$8,IF($F15="CV",'Fleet Tech - Tech'!N$9,IF($F15="SS",'Fleet Tech - Tech'!N$10,IF($F15="BBV",'Fleet Tech - Tech'!N$11,IF($F15="CB",'Fleet Tech - Tech'!N$15,IF($F15="AE",'Fleet Tech - Tech'!N$16,IF($F15="IX",'Fleet Tech - Tech'!N$17,IF($F15="BM",'Fleet Tech - Tech'!N$13,IF($F15="AR",'Fleet Tech - Tech'!N$12,IF($F15="SSV",'Fleet Tech - Tech'!N$14,"nil"))))))))))))))),0)</f>
        <v>10</v>
      </c>
      <c r="BH15" s="28"/>
      <c r="BI15" s="12">
        <v>1169</v>
      </c>
      <c r="BJ15" s="12">
        <v>33</v>
      </c>
      <c r="BK15" s="12">
        <v>0</v>
      </c>
      <c r="BL15" s="12">
        <v>188</v>
      </c>
      <c r="BM15" s="12">
        <v>18</v>
      </c>
      <c r="BN15" s="12">
        <v>380</v>
      </c>
      <c r="BO15" s="12">
        <v>0</v>
      </c>
      <c r="BP15" s="12">
        <v>2</v>
      </c>
      <c r="BQ15" s="12">
        <v>14</v>
      </c>
      <c r="BR15" s="12">
        <v>6</v>
      </c>
      <c r="BS15" s="12">
        <v>56</v>
      </c>
      <c r="BT15" s="12">
        <v>33</v>
      </c>
      <c r="BU15" s="12">
        <v>153</v>
      </c>
      <c r="BV15" s="12">
        <v>335</v>
      </c>
      <c r="BW15" s="28"/>
      <c r="BX15" s="12">
        <v>-1</v>
      </c>
      <c r="BY15" s="12">
        <v>-1</v>
      </c>
      <c r="BZ15" s="12">
        <v>-1</v>
      </c>
      <c r="CA15" s="12">
        <v>-1</v>
      </c>
      <c r="CB15" s="12">
        <v>-1</v>
      </c>
      <c r="CC15" s="12">
        <v>-1</v>
      </c>
      <c r="CD15" s="12">
        <v>-1</v>
      </c>
      <c r="CE15" s="12">
        <v>-1</v>
      </c>
      <c r="CF15" s="12">
        <v>-1</v>
      </c>
      <c r="CG15" s="12">
        <v>-1</v>
      </c>
      <c r="CH15" s="12">
        <v>-1</v>
      </c>
      <c r="CI15" s="12">
        <v>-1</v>
      </c>
      <c r="CJ15" s="47"/>
      <c r="CK15" s="48">
        <f>IF(BX15=5,320,IF(BX15=4,195,IF(BX15=3,132,IF(BX15=2,90,IF(BX15=1,58,IF(BX15=-1,0,35))))))</f>
        <v>0</v>
      </c>
      <c r="CL15" s="48">
        <f>IF(BX15=5,20,IF(BX15=4,15,IF(BX15=3,12,IF(BX15=2,10,IF(BX15=1,8,IF(BX15=-1,0,5))))))</f>
        <v>0</v>
      </c>
      <c r="CM15" s="48">
        <f>IF(BZ15=5,320,IF(BZ15=4,195,IF(BZ15=3,132,IF(BZ15=2,90,IF(BZ15=1,58,IF(BZ15=-1,0,35))))))</f>
        <v>0</v>
      </c>
      <c r="CN15" s="48">
        <f>IF(BZ15=5,20,IF(BZ15=4,15,IF(BZ15=3,12,IF(BZ15=2,10,IF(BZ15=1,8,IF(BZ15=-1,0,5))))))</f>
        <v>0</v>
      </c>
      <c r="CO15" s="48">
        <f>IF(CB15=5,320,IF(CB15=4,195,IF(CB15=3,132,IF(CB15=2,90,IF(CB15=1,58,IF(CB15=-1,0,35))))))</f>
        <v>0</v>
      </c>
      <c r="CP15" s="48">
        <f>IF(CB15=5,20,IF(CB15=4,15,IF(CB15=3,12,IF(CB15=2,10,IF(CB15=1,8,IF(CB15=-1,0,5))))))</f>
        <v>0</v>
      </c>
      <c r="CQ15" s="48">
        <f>IF(CD15=5,320,IF(CD15=4,195,IF(CD15=3,132,IF(CD15=2,90,IF(CD15=1,58,IF(CD15=-1,0,35))))))</f>
        <v>0</v>
      </c>
      <c r="CR15" s="48">
        <f>IF(CD15=5,20,IF(CD15=4,15,IF(CD15=3,12,IF(CD15=2,10,IF(CD15=1,8,IF(CD15=-1,0,5))))))</f>
        <v>0</v>
      </c>
      <c r="CS15" s="48">
        <f>IF(CF15=5,320,IF(CF15=4,195,IF(CF15=3,132,IF(CF15=2,90,IF(CF15=1,58,IF(CF15=-1,0,35))))))</f>
        <v>0</v>
      </c>
      <c r="CT15" s="48">
        <f>IF(CF15=5,20,IF(CF15=4,15,IF(CF15=3,12,IF(CF15=2,10,IF(CF15=1,8,IF(CF15=-1,0,5))))))</f>
        <v>0</v>
      </c>
      <c r="CU15" s="48">
        <f>IF(CH15=5,320,IF(CH15=4,195,IF(CH15=3,132,IF(CH15=2,90,IF(CH15=1,58,IF(CH15=-1,0,35))))))</f>
        <v>0</v>
      </c>
      <c r="CV15" s="48">
        <f>IF(CH15=5,20,IF(CH15=4,15,IF(CH15=3,12,IF(CH15=2,10,IF(CH15=1,8,IF(CH15=-1,0,5))))))</f>
        <v>0</v>
      </c>
      <c r="CW15" s="48">
        <f>IF(BY15&gt;10,(BY15/10)-ROUNDDOWN(BY15/10,0),0)+IF(CA15&gt;10,(CA15/10)-ROUNDDOWN(CA15/10,0),0)+IF(CC15&gt;10,(CC15/10)-ROUNDDOWN(CC15/10,0),0)+IF(CE15&gt;10,(CE15/10)-ROUNDDOWN(CE15/10,0),0)+IF(CG15&gt;10,(CG15/10)-ROUNDDOWN(CG15/10,0),0)+IF(CI15&gt;10,(CI15/10)-ROUNDDOWN(CI15/10,0),0)</f>
        <v>0</v>
      </c>
      <c r="CX15" s="48">
        <f>1+(CW15/10)</f>
        <v>1</v>
      </c>
    </row>
    <row r="16" ht="20.05" customHeight="1">
      <c r="A16" t="s" s="43">
        <v>278</v>
      </c>
      <c r="B16" s="49"/>
      <c r="C16" t="s" s="45">
        <v>279</v>
      </c>
      <c r="D16" s="13">
        <v>2</v>
      </c>
      <c r="E16" t="s" s="15">
        <v>240</v>
      </c>
      <c r="F16" t="s" s="15">
        <v>280</v>
      </c>
      <c r="G16" t="s" s="15">
        <v>262</v>
      </c>
      <c r="H16" s="12">
        <v>2</v>
      </c>
      <c r="I16" t="s" s="15">
        <v>263</v>
      </c>
      <c r="J16" s="12">
        <v>68</v>
      </c>
      <c r="K16" t="s" s="14">
        <v>264</v>
      </c>
      <c r="L16" t="s" s="15">
        <v>237</v>
      </c>
      <c r="M16" t="s" s="15">
        <v>25</v>
      </c>
      <c r="N16" s="46">
        <f>ROUND((SUM(AA16,T16:Y16,AC16:AE16,Z16*10)-AB16*15)*(IF(K16="Heavy",0.15,IF(K16="Medium",0,IF(K16="Light",-0.15,10)))+1),0)</f>
        <v>846</v>
      </c>
      <c r="O16" s="46">
        <v>3812</v>
      </c>
      <c r="P16" s="46">
        <f>ROUNDDOWN((BI16+AU16+AG16)/5,0)+(BJ16+AV16+AH16)+(BN16+AZ16+AL16)+(BO16+BA16+AM16)+(BK16+AW16+AI16)+(BS16+BE16+AQ16)+(BL16+AX16+AJ16)+(BQ16+BC16+AO16)+(2*((BT16+BF16+AR16)+(BU16+BG16+AS16)))+(CK16+CM16+CO16+CQ16+CS16+CU16)+(CL16*BY16)+(CN16*CA16)+(CP16+CC16)+(CR16+CE16)+(CT16+CG16)+(CV16+CI16)+BV16</f>
        <v>4024</v>
      </c>
      <c r="Q16" s="46">
        <f>ROUNDDOWN(((S16/5)+T16+X16+Y16+U16+AC16+V16+AA16+(2*(AD16+AE16))+CK16+CM16+CO16+CQ16+CS16+CU16+(CL16*BX16)+(CN16*BZ16)+(CP16*CB16)+(CR16*CD16)+(CT16*CF16)+(CV16*CH16))*CX16,0)</f>
        <v>3672</v>
      </c>
      <c r="R16" s="46">
        <f>ROUNDDOWN(AVERAGE(P16:Q16),0)</f>
        <v>3848</v>
      </c>
      <c r="S16" s="12">
        <f>AG16+AU16+BI16</f>
        <v>5764</v>
      </c>
      <c r="T16" s="12">
        <f>AH16+AV16+BJ16</f>
        <v>359</v>
      </c>
      <c r="U16" s="12">
        <f>AI16+AW16+BK16</f>
        <v>291</v>
      </c>
      <c r="V16" s="12">
        <f>AJ16+AX16+BL16</f>
        <v>0</v>
      </c>
      <c r="W16" s="12">
        <f>AK16+AY16+BM16</f>
        <v>50</v>
      </c>
      <c r="X16" s="12">
        <f>AL16+AZ16+BN16</f>
        <v>0</v>
      </c>
      <c r="Y16" s="12">
        <f>AM16+BA16+BO16</f>
        <v>0</v>
      </c>
      <c r="Z16" s="12">
        <f>AN16+BB16+BP16</f>
        <v>0</v>
      </c>
      <c r="AA16" s="12">
        <f>AO16+BC16+BQ16</f>
        <v>30</v>
      </c>
      <c r="AB16" s="12">
        <f>AP16+BD16+BR16</f>
        <v>15</v>
      </c>
      <c r="AC16" s="12">
        <f>AQ16+BE16+BS16</f>
        <v>102</v>
      </c>
      <c r="AD16" s="12">
        <f>AR16+BF16+BT16</f>
        <v>38</v>
      </c>
      <c r="AE16" s="12">
        <f>AS16+BG16+BU16</f>
        <v>91</v>
      </c>
      <c r="AF16" s="28"/>
      <c r="AG16" s="28"/>
      <c r="AH16" s="12">
        <v>97</v>
      </c>
      <c r="AI16" s="12">
        <v>136</v>
      </c>
      <c r="AJ16" s="28"/>
      <c r="AK16" s="28"/>
      <c r="AL16" s="28"/>
      <c r="AM16" s="28"/>
      <c r="AN16" s="28"/>
      <c r="AO16" s="28"/>
      <c r="AP16" s="28"/>
      <c r="AQ16" s="28"/>
      <c r="AR16" s="12">
        <v>20</v>
      </c>
      <c r="AS16" s="12">
        <v>44</v>
      </c>
      <c r="AT16" s="28"/>
      <c r="AU16" s="12">
        <f>IF($H16=3,IF(OR($F16="DDV",$F16="DDG",$F16="DD"),'Fleet Tech - Tech'!B$3,IF($F16="CL",'Fleet Tech - Tech'!B$4,IF($F16="CA",'Fleet Tech - Tech'!B$5,IF($F16="BC",'Fleet Tech - Tech'!B$6,IF($F16="BB",'Fleet Tech - Tech'!B$7,IF($F16="CVL",'Fleet Tech - Tech'!B$8,IF($F16="CV",'Fleet Tech - Tech'!B$9,IF($F16="SS",'Fleet Tech - Tech'!B$10,IF($F16="BBV",'Fleet Tech - Tech'!B$11,IF($F16="CB",'Fleet Tech - Tech'!B$15,IF($F16="AE",'Fleet Tech - Tech'!B$16,IF($F16="IX",'Fleet Tech - Tech'!B$17,IF($F16="BM",'Fleet Tech - Tech'!B$13,IF($F16="AR",'Fleet Tech - Tech'!B$12,IF($F16="SSV",'Fleet Tech - Tech'!B$14,"nil"))))))))))))))),0)</f>
        <v>0</v>
      </c>
      <c r="AV16" s="12">
        <f>IF($H16=3,IF(OR($F16="DDV",$F16="DDG",$F16="DD"),'Fleet Tech - Tech'!C$3,IF($F16="CL",'Fleet Tech - Tech'!C$4,IF($F16="CA",'Fleet Tech - Tech'!C$5,IF($F16="BC",'Fleet Tech - Tech'!C$6,IF($F16="BB",'Fleet Tech - Tech'!C$7,IF($F16="CVL",'Fleet Tech - Tech'!C$8,IF($F16="CV",'Fleet Tech - Tech'!C$9,IF($F16="SS",'Fleet Tech - Tech'!C$10,IF($F16="BBV",'Fleet Tech - Tech'!C$11,IF($F16="CB",'Fleet Tech - Tech'!C$15,IF($F16="AE",'Fleet Tech - Tech'!C$16,IF($F16="IX",'Fleet Tech - Tech'!C$17,IF($F16="BM",'Fleet Tech - Tech'!C$13,IF($F16="AR",'Fleet Tech - Tech'!C$12,IF($F16="SSV",'Fleet Tech - Tech'!C$14,"nil"))))))))))))))),0)</f>
        <v>0</v>
      </c>
      <c r="AW16" s="12">
        <f>IF($H16=3,IF(OR($F16="DDV",$F16="DDG",$F16="DD"),'Fleet Tech - Tech'!D$3,IF($F16="CL",'Fleet Tech - Tech'!D$4,IF($F16="CA",'Fleet Tech - Tech'!D$5,IF($F16="BC",'Fleet Tech - Tech'!D$6,IF($F16="BB",'Fleet Tech - Tech'!D$7,IF($F16="CVL",'Fleet Tech - Tech'!D$8,IF($F16="CV",'Fleet Tech - Tech'!D$9,IF($F16="SS",'Fleet Tech - Tech'!D$10,IF($F16="BBV",'Fleet Tech - Tech'!D$11,IF($F16="CB",'Fleet Tech - Tech'!D$15,IF($F16="AE",'Fleet Tech - Tech'!D$16,IF($F16="IX",'Fleet Tech - Tech'!D$17,IF($F16="BM",'Fleet Tech - Tech'!D$13,IF($F16="AR",'Fleet Tech - Tech'!D$12,IF($F16="SSV",'Fleet Tech - Tech'!D$14,"nil"))))))))))))))),0)</f>
        <v>0</v>
      </c>
      <c r="AX16" s="12">
        <f>IF($H16=3,IF(OR($F16="DDV",$F16="DDG",$F16="DD"),'Fleet Tech - Tech'!E$3,IF($F16="CL",'Fleet Tech - Tech'!E$4,IF($F16="CA",'Fleet Tech - Tech'!E$5,IF($F16="BC",'Fleet Tech - Tech'!E$6,IF($F16="BB",'Fleet Tech - Tech'!E$7,IF($F16="CVL",'Fleet Tech - Tech'!E$8,IF($F16="CV",'Fleet Tech - Tech'!E$9,IF($F16="SS",'Fleet Tech - Tech'!E$10,IF($F16="BBV",'Fleet Tech - Tech'!E$11,IF($F16="CB",'Fleet Tech - Tech'!E$15,IF($F16="AE",'Fleet Tech - Tech'!E$16,IF($F16="IX",'Fleet Tech - Tech'!E$17,IF($F16="BM",'Fleet Tech - Tech'!E$13,IF($F16="AR",'Fleet Tech - Tech'!E$12,IF($F16="SSV",'Fleet Tech - Tech'!E$14,"nil"))))))))))))))),0)</f>
        <v>0</v>
      </c>
      <c r="AY16" s="12">
        <f>IF($H16=3,IF(OR($F16="DDV",$F16="DDG",$F16="DD"),'Fleet Tech - Tech'!F$3,IF($F16="CL",'Fleet Tech - Tech'!F$4,IF($F16="CA",'Fleet Tech - Tech'!F$5,IF($F16="BC",'Fleet Tech - Tech'!F$6,IF($F16="BB",'Fleet Tech - Tech'!F$7,IF($F16="CVL",'Fleet Tech - Tech'!F$8,IF($F16="CV",'Fleet Tech - Tech'!F$9,IF($F16="SS",'Fleet Tech - Tech'!F$10,IF($F16="BBV",'Fleet Tech - Tech'!F$11,IF($F16="CB",'Fleet Tech - Tech'!F$15,IF($F16="AE",'Fleet Tech - Tech'!F$16,IF($F16="IX",'Fleet Tech - Tech'!F$17,IF($F16="BM",'Fleet Tech - Tech'!F$13,IF($F16="AR",'Fleet Tech - Tech'!F$12,IF($F16="SSV",'Fleet Tech - Tech'!F$14,"nil"))))))))))))))),0)</f>
        <v>0</v>
      </c>
      <c r="AZ16" s="12">
        <f>IF($H16=3,IF(OR($F16="DDV",$F16="DDG",$F16="DD"),'Fleet Tech - Tech'!G$3,IF($F16="CL",'Fleet Tech - Tech'!G$4,IF($F16="CA",'Fleet Tech - Tech'!G$5,IF($F16="BC",'Fleet Tech - Tech'!G$6,IF($F16="BB",'Fleet Tech - Tech'!G$7,IF($F16="CVL",'Fleet Tech - Tech'!G$8,IF($F16="CV",'Fleet Tech - Tech'!G$9,IF($F16="SS",'Fleet Tech - Tech'!G$10,IF($F16="BBV",'Fleet Tech - Tech'!G$11,IF($F16="CB",'Fleet Tech - Tech'!G$15,IF($F16="AE",'Fleet Tech - Tech'!G$16,IF($F16="IX",'Fleet Tech - Tech'!G$17,IF($F16="BM",'Fleet Tech - Tech'!G$13,IF($F16="AR",'Fleet Tech - Tech'!G$12,IF($F16="SSV",'Fleet Tech - Tech'!G$14,"nil"))))))))))))))),0)</f>
        <v>0</v>
      </c>
      <c r="BA16" s="12">
        <f>IF($H16=3,IF(OR($F16="DDV",$F16="DDG",$F16="DD"),'Fleet Tech - Tech'!H$3,IF($F16="CL",'Fleet Tech - Tech'!H$4,IF($F16="CA",'Fleet Tech - Tech'!H$5,IF($F16="BC",'Fleet Tech - Tech'!H$6,IF($F16="BB",'Fleet Tech - Tech'!H$7,IF($F16="CVL",'Fleet Tech - Tech'!H$8,IF($F16="CV",'Fleet Tech - Tech'!H$9,IF($F16="SS",'Fleet Tech - Tech'!H$10,IF($F16="BBV",'Fleet Tech - Tech'!H$11,IF($F16="CB",'Fleet Tech - Tech'!H$15,IF($F16="AE",'Fleet Tech - Tech'!H$16,IF($F16="IX",'Fleet Tech - Tech'!H$17,IF($F16="BM",'Fleet Tech - Tech'!H$13,IF($F16="AR",'Fleet Tech - Tech'!H$12,IF($F16="SSV",'Fleet Tech - Tech'!H$14,"nil"))))))))))))))),0)</f>
        <v>0</v>
      </c>
      <c r="BB16" s="12">
        <f>IF($H16=3,IF(OR($F16="DDV",$F16="DDG",$F16="DD"),'Fleet Tech - Tech'!I$3,IF($F16="CL",'Fleet Tech - Tech'!I$4,IF($F16="CA",'Fleet Tech - Tech'!I$5,IF($F16="BC",'Fleet Tech - Tech'!I$6,IF($F16="BB",'Fleet Tech - Tech'!I$7,IF($F16="CVL",'Fleet Tech - Tech'!I$8,IF($F16="CV",'Fleet Tech - Tech'!I$9,IF($F16="SS",'Fleet Tech - Tech'!I$10,IF($F16="BBV",'Fleet Tech - Tech'!I$11,IF($F16="CB",'Fleet Tech - Tech'!I$15,IF($F16="AE",'Fleet Tech - Tech'!I$16,IF($F16="IX",'Fleet Tech - Tech'!I$17,IF($F16="BM",'Fleet Tech - Tech'!I$13,IF($F16="AR",'Fleet Tech - Tech'!I$12,IF($F16="SSV",'Fleet Tech - Tech'!I$14,"nil"))))))))))))))),0)</f>
        <v>0</v>
      </c>
      <c r="BC16" s="12">
        <f>IF($H16=3,IF(OR($F16="DDV",$F16="DDG",$F16="DD"),'Fleet Tech - Tech'!J$3,IF($F16="CL",'Fleet Tech - Tech'!J$4,IF($F16="CA",'Fleet Tech - Tech'!J$5,IF($F16="BC",'Fleet Tech - Tech'!J$6,IF($F16="BB",'Fleet Tech - Tech'!J$7,IF($F16="CVL",'Fleet Tech - Tech'!J$8,IF($F16="CV",'Fleet Tech - Tech'!J$9,IF($F16="SS",'Fleet Tech - Tech'!J$10,IF($F16="BBV",'Fleet Tech - Tech'!J$11,IF($F16="CB",'Fleet Tech - Tech'!J$15,IF($F16="AE",'Fleet Tech - Tech'!J$16,IF($F16="IX",'Fleet Tech - Tech'!J$17,IF($F16="BM",'Fleet Tech - Tech'!J$13,IF($F16="AR",'Fleet Tech - Tech'!J$12,IF($F16="SSV",'Fleet Tech - Tech'!J$14,"nil"))))))))))))))),0)</f>
        <v>0</v>
      </c>
      <c r="BD16" s="12">
        <f>IF($H16=3,IF(OR($F16="DDV",$F16="DDG",$F16="DD"),'Fleet Tech - Tech'!K$3,IF($F16="CL",'Fleet Tech - Tech'!K$4,IF($F16="CA",'Fleet Tech - Tech'!K$5,IF($F16="BC",'Fleet Tech - Tech'!K$6,IF($F16="BB",'Fleet Tech - Tech'!K$7,IF($F16="CVL",'Fleet Tech - Tech'!K$8,IF($F16="CV",'Fleet Tech - Tech'!K$9,IF($F16="SS",'Fleet Tech - Tech'!K$10,IF($F16="BBV",'Fleet Tech - Tech'!K$11,IF($F16="CB",'Fleet Tech - Tech'!K$15,IF($F16="AE",'Fleet Tech - Tech'!K$16,IF($F16="IX",'Fleet Tech - Tech'!K$17,IF($F16="BM",'Fleet Tech - Tech'!K$13,IF($F16="AR",'Fleet Tech - Tech'!K$12,IF($F16="SSV",'Fleet Tech - Tech'!K$14,"nil"))))))))))))))),0)</f>
        <v>0</v>
      </c>
      <c r="BE16" s="12">
        <f>IF($H16=3,IF(OR($F16="DDV",$F16="DDG",$F16="DD"),'Fleet Tech - Tech'!L$3,IF($F16="CL",'Fleet Tech - Tech'!L$4,IF($F16="CA",'Fleet Tech - Tech'!L$5,IF($F16="BC",'Fleet Tech - Tech'!L$6,IF($F16="BB",'Fleet Tech - Tech'!L$7,IF($F16="CVL",'Fleet Tech - Tech'!L$8,IF($F16="CV",'Fleet Tech - Tech'!L$9,IF($F16="SS",'Fleet Tech - Tech'!L$10,IF($F16="BBV",'Fleet Tech - Tech'!L$11,IF($F16="CB",'Fleet Tech - Tech'!L$15,IF($F16="AE",'Fleet Tech - Tech'!L$16,IF($F16="IX",'Fleet Tech - Tech'!L$17,IF($F16="BM",'Fleet Tech - Tech'!L$13,IF($F16="AR",'Fleet Tech - Tech'!L$12,IF($F16="SSV",'Fleet Tech - Tech'!L$14,"nil"))))))))))))))),0)</f>
        <v>0</v>
      </c>
      <c r="BF16" s="12">
        <f>IF($H16=3,IF(OR($F16="DDV",$F16="DDG",$F16="DD"),'Fleet Tech - Tech'!M$3,IF($F16="CL",'Fleet Tech - Tech'!M$4,IF($F16="CA",'Fleet Tech - Tech'!M$5,IF($F16="BC",'Fleet Tech - Tech'!M$6,IF($F16="BB",'Fleet Tech - Tech'!M$7,IF($F16="CVL",'Fleet Tech - Tech'!M$8,IF($F16="CV",'Fleet Tech - Tech'!M$9,IF($F16="SS",'Fleet Tech - Tech'!M$10,IF($F16="BBV",'Fleet Tech - Tech'!M$11,IF($F16="CB",'Fleet Tech - Tech'!M$15,IF($F16="AE",'Fleet Tech - Tech'!M$16,IF($F16="IX",'Fleet Tech - Tech'!M$17,IF($F16="BM",'Fleet Tech - Tech'!M$13,IF($F16="AR",'Fleet Tech - Tech'!M$12,IF($F16="SSV",'Fleet Tech - Tech'!M$14,"nil"))))))))))))))),0)</f>
        <v>0</v>
      </c>
      <c r="BG16" s="12">
        <f>IF($H16=3,IF(OR($F16="DDV",$F16="DDG",$F16="DD"),'Fleet Tech - Tech'!N$3,IF($F16="CL",'Fleet Tech - Tech'!N$4,IF($F16="CA",'Fleet Tech - Tech'!N$5,IF($F16="BC",'Fleet Tech - Tech'!N$6,IF($F16="BB",'Fleet Tech - Tech'!N$7,IF($F16="CVL",'Fleet Tech - Tech'!N$8,IF($F16="CV",'Fleet Tech - Tech'!N$9,IF($F16="SS",'Fleet Tech - Tech'!N$10,IF($F16="BBV",'Fleet Tech - Tech'!N$11,IF($F16="CB",'Fleet Tech - Tech'!N$15,IF($F16="AE",'Fleet Tech - Tech'!N$16,IF($F16="IX",'Fleet Tech - Tech'!N$17,IF($F16="BM",'Fleet Tech - Tech'!N$13,IF($F16="AR",'Fleet Tech - Tech'!N$12,IF($F16="SSV",'Fleet Tech - Tech'!N$14,"nil"))))))))))))))),0)</f>
        <v>0</v>
      </c>
      <c r="BH16" s="28"/>
      <c r="BI16" s="12">
        <v>5764</v>
      </c>
      <c r="BJ16" s="12">
        <v>262</v>
      </c>
      <c r="BK16" s="12">
        <v>155</v>
      </c>
      <c r="BL16" s="28"/>
      <c r="BM16" s="12">
        <v>50</v>
      </c>
      <c r="BN16" s="28"/>
      <c r="BO16" s="28"/>
      <c r="BP16" s="28"/>
      <c r="BQ16" s="12">
        <v>30</v>
      </c>
      <c r="BR16" s="12">
        <v>15</v>
      </c>
      <c r="BS16" s="12">
        <v>102</v>
      </c>
      <c r="BT16" s="12">
        <v>18</v>
      </c>
      <c r="BU16" s="12">
        <v>47</v>
      </c>
      <c r="BV16" s="12">
        <v>335</v>
      </c>
      <c r="BW16" s="28"/>
      <c r="BX16" s="12">
        <v>4</v>
      </c>
      <c r="BY16" s="12">
        <v>10</v>
      </c>
      <c r="BZ16" s="12">
        <v>4</v>
      </c>
      <c r="CA16" s="12">
        <v>10</v>
      </c>
      <c r="CB16" s="12">
        <v>4</v>
      </c>
      <c r="CC16" s="12">
        <v>11</v>
      </c>
      <c r="CD16" s="12">
        <v>4</v>
      </c>
      <c r="CE16" s="12">
        <v>6</v>
      </c>
      <c r="CF16" s="12">
        <v>4</v>
      </c>
      <c r="CG16" s="12">
        <v>6</v>
      </c>
      <c r="CH16" s="12">
        <v>3</v>
      </c>
      <c r="CI16" s="12">
        <v>10</v>
      </c>
      <c r="CJ16" s="47"/>
      <c r="CK16" s="48">
        <f>IF(BX16=5,320,IF(BX16=4,195,IF(BX16=3,132,IF(BX16=2,90,IF(BX16=1,58,IF(BX16=-1,0,35))))))</f>
        <v>195</v>
      </c>
      <c r="CL16" s="48">
        <f>IF(BX16=5,20,IF(BX16=4,15,IF(BX16=3,12,IF(BX16=2,10,IF(BX16=1,8,IF(BX16=-1,0,5))))))</f>
        <v>15</v>
      </c>
      <c r="CM16" s="48">
        <f>IF(BZ16=5,320,IF(BZ16=4,195,IF(BZ16=3,132,IF(BZ16=2,90,IF(BZ16=1,58,IF(BZ16=-1,0,35))))))</f>
        <v>195</v>
      </c>
      <c r="CN16" s="48">
        <f>IF(BZ16=5,20,IF(BZ16=4,15,IF(BZ16=3,12,IF(BZ16=2,10,IF(BZ16=1,8,IF(BZ16=-1,0,5))))))</f>
        <v>15</v>
      </c>
      <c r="CO16" s="48">
        <f>IF(CB16=5,320,IF(CB16=4,195,IF(CB16=3,132,IF(CB16=2,90,IF(CB16=1,58,IF(CB16=-1,0,35))))))</f>
        <v>195</v>
      </c>
      <c r="CP16" s="48">
        <f>IF(CB16=5,20,IF(CB16=4,15,IF(CB16=3,12,IF(CB16=2,10,IF(CB16=1,8,IF(CB16=-1,0,5))))))</f>
        <v>15</v>
      </c>
      <c r="CQ16" s="48">
        <f>IF(CD16=5,320,IF(CD16=4,195,IF(CD16=3,132,IF(CD16=2,90,IF(CD16=1,58,IF(CD16=-1,0,35))))))</f>
        <v>195</v>
      </c>
      <c r="CR16" s="48">
        <f>IF(CD16=5,20,IF(CD16=4,15,IF(CD16=3,12,IF(CD16=2,10,IF(CD16=1,8,IF(CD16=-1,0,5))))))</f>
        <v>15</v>
      </c>
      <c r="CS16" s="48">
        <f>IF(CF16=5,320,IF(CF16=4,195,IF(CF16=3,132,IF(CF16=2,90,IF(CF16=1,58,IF(CF16=-1,0,35))))))</f>
        <v>195</v>
      </c>
      <c r="CT16" s="48">
        <f>IF(CF16=5,20,IF(CF16=4,15,IF(CF16=3,12,IF(CF16=2,10,IF(CF16=1,8,IF(CF16=-1,0,5))))))</f>
        <v>15</v>
      </c>
      <c r="CU16" s="48">
        <f>IF(CH16=5,320,IF(CH16=4,195,IF(CH16=3,132,IF(CH16=2,90,IF(CH16=1,58,IF(CH16=-1,0,35))))))</f>
        <v>132</v>
      </c>
      <c r="CV16" s="48">
        <f>IF(CH16=5,20,IF(CH16=4,15,IF(CH16=3,12,IF(CH16=2,10,IF(CH16=1,8,IF(CH16=-1,0,5))))))</f>
        <v>12</v>
      </c>
      <c r="CW16" s="48">
        <f>IF(BY16&gt;10,(BY16/10)-ROUNDDOWN(BY16/10,0),0)+IF(CA16&gt;10,(CA16/10)-ROUNDDOWN(CA16/10,0),0)+IF(CC16&gt;10,(CC16/10)-ROUNDDOWN(CC16/10,0),0)+IF(CE16&gt;10,(CE16/10)-ROUNDDOWN(CE16/10,0),0)+IF(CG16&gt;10,(CG16/10)-ROUNDDOWN(CG16/10,0),0)+IF(CI16&gt;10,(CI16/10)-ROUNDDOWN(CI16/10,0),0)</f>
        <v>0.1</v>
      </c>
      <c r="CX16" s="48">
        <f>1+(CW16/10)</f>
        <v>1.01</v>
      </c>
    </row>
    <row r="17" ht="20.05" customHeight="1">
      <c r="A17" t="s" s="43">
        <v>281</v>
      </c>
      <c r="B17" s="49"/>
      <c r="C17" t="s" s="45">
        <v>279</v>
      </c>
      <c r="D17" s="13">
        <v>2</v>
      </c>
      <c r="E17" t="s" s="15">
        <v>240</v>
      </c>
      <c r="F17" t="s" s="15">
        <v>280</v>
      </c>
      <c r="G17" t="s" s="15">
        <v>282</v>
      </c>
      <c r="H17" s="12">
        <v>0</v>
      </c>
      <c r="I17" t="s" s="15">
        <v>235</v>
      </c>
      <c r="J17" s="12">
        <v>48</v>
      </c>
      <c r="K17" t="s" s="14">
        <v>264</v>
      </c>
      <c r="L17" t="s" s="15">
        <v>237</v>
      </c>
      <c r="M17" t="s" s="15">
        <v>25</v>
      </c>
      <c r="N17" s="46">
        <f>ROUND((SUM(AA17,T17:Y17,AC17:AE17,Z17*10)-AB17*15)*(IF(K17="Heavy",0.15,IF(K17="Medium",0,IF(K17="Light",-0.15,10)))+1),0)</f>
        <v>616</v>
      </c>
      <c r="O17" s="46">
        <v>2458</v>
      </c>
      <c r="P17" s="46">
        <f>ROUNDDOWN((BI17+AU17+AG17)/5,0)+(BJ17+AV17+AH17)+(BN17+AZ17+AL17)+(BO17+BA17+AM17)+(BK17+AW17+AI17)+(BS17+BE17+AQ17)+(BL17+AX17+AJ17)+(BQ17+BC17+AO17)+(2*((BT17+BF17+AR17)+(BU17+BG17+AS17)))+(CK17+CM17+CO17+CQ17+CS17+CU17)+(CL17*BY17)+(CN17*CA17)+(CP17+CC17)+(CR17+CE17)+(CT17+CG17)+(CV17+CI17)+BV17</f>
        <v>2653</v>
      </c>
      <c r="Q17" s="46">
        <f>ROUNDDOWN(((S17/5)+T17+X17+Y17+U17+AC17+V17+AA17+(2*(AD17+AE17))+CK17+CM17+CO17+CQ17+CS17+CU17+(CL17*BX17)+(CN17*BZ17)+(CP17*CB17)+(CR17*CD17)+(CT17*CF17)+(CV17*CH17))*CX17,0)</f>
        <v>2323</v>
      </c>
      <c r="R17" s="46">
        <f>ROUNDDOWN(AVERAGE(P17:Q17),0)</f>
        <v>2488</v>
      </c>
      <c r="S17" s="12">
        <f>AG17+AU17+BI17</f>
        <v>3170</v>
      </c>
      <c r="T17" s="12">
        <f>AH17+AV17+BJ17</f>
        <v>231</v>
      </c>
      <c r="U17" s="12">
        <f>AI17+AW17+BK17</f>
        <v>123</v>
      </c>
      <c r="V17" s="12">
        <f>AJ17+AX17+BL17</f>
        <v>0</v>
      </c>
      <c r="W17" s="12">
        <f>AK17+AY17+BM17</f>
        <v>45</v>
      </c>
      <c r="X17" s="12">
        <f>AL17+AZ17+BN17</f>
        <v>66</v>
      </c>
      <c r="Y17" s="12">
        <f>AM17+BA17+BO17</f>
        <v>0</v>
      </c>
      <c r="Z17" s="12">
        <f>AN17+BB17+BP17</f>
        <v>0</v>
      </c>
      <c r="AA17" s="12">
        <f>AO17+BC17+BQ17</f>
        <v>30</v>
      </c>
      <c r="AB17" s="12">
        <f>AP17+BD17+BR17</f>
        <v>7</v>
      </c>
      <c r="AC17" s="12">
        <f>AQ17+BE17+BS17</f>
        <v>73</v>
      </c>
      <c r="AD17" s="12">
        <f>AR17+BF17+BT17</f>
        <v>17</v>
      </c>
      <c r="AE17" s="12">
        <f>AS17+BG17+BU17</f>
        <v>56</v>
      </c>
      <c r="AF17" s="28"/>
      <c r="AG17" s="28"/>
      <c r="AH17" s="12">
        <v>104</v>
      </c>
      <c r="AI17" s="12">
        <v>45</v>
      </c>
      <c r="AJ17" s="28"/>
      <c r="AK17" s="28"/>
      <c r="AL17" s="28"/>
      <c r="AM17" s="28"/>
      <c r="AN17" s="28"/>
      <c r="AO17" s="28"/>
      <c r="AP17" s="28"/>
      <c r="AQ17" s="28"/>
      <c r="AR17" s="28"/>
      <c r="AS17" s="12">
        <v>18</v>
      </c>
      <c r="AT17" s="28"/>
      <c r="AU17" s="12">
        <f>IF($H17=3,IF(OR($F17="DDV",$F17="DDG",$F17="DD"),'Fleet Tech - Tech'!B$3,IF($F17="CL",'Fleet Tech - Tech'!B$4,IF($F17="CA",'Fleet Tech - Tech'!B$5,IF($F17="BC",'Fleet Tech - Tech'!B$6,IF($F17="BB",'Fleet Tech - Tech'!B$7,IF($F17="CVL",'Fleet Tech - Tech'!B$8,IF($F17="CV",'Fleet Tech - Tech'!B$9,IF($F17="SS",'Fleet Tech - Tech'!B$10,IF($F17="BBV",'Fleet Tech - Tech'!B$11,IF($F17="CB",'Fleet Tech - Tech'!B$15,IF($F17="AE",'Fleet Tech - Tech'!B$16,IF($F17="IX",'Fleet Tech - Tech'!B$17,IF($F17="BM",'Fleet Tech - Tech'!B$13,IF($F17="AR",'Fleet Tech - Tech'!B$12,IF($F17="SSV",'Fleet Tech - Tech'!B$14,"nil"))))))))))))))),0)</f>
        <v>0</v>
      </c>
      <c r="AV17" s="12">
        <f>IF($H17=3,IF(OR($F17="DDV",$F17="DDG",$F17="DD"),'Fleet Tech - Tech'!C$3,IF($F17="CL",'Fleet Tech - Tech'!C$4,IF($F17="CA",'Fleet Tech - Tech'!C$5,IF($F17="BC",'Fleet Tech - Tech'!C$6,IF($F17="BB",'Fleet Tech - Tech'!C$7,IF($F17="CVL",'Fleet Tech - Tech'!C$8,IF($F17="CV",'Fleet Tech - Tech'!C$9,IF($F17="SS",'Fleet Tech - Tech'!C$10,IF($F17="BBV",'Fleet Tech - Tech'!C$11,IF($F17="CB",'Fleet Tech - Tech'!C$15,IF($F17="AE",'Fleet Tech - Tech'!C$16,IF($F17="IX",'Fleet Tech - Tech'!C$17,IF($F17="BM",'Fleet Tech - Tech'!C$13,IF($F17="AR",'Fleet Tech - Tech'!C$12,IF($F17="SSV",'Fleet Tech - Tech'!C$14,"nil"))))))))))))))),0)</f>
        <v>0</v>
      </c>
      <c r="AW17" s="12">
        <f>IF($H17=3,IF(OR($F17="DDV",$F17="DDG",$F17="DD"),'Fleet Tech - Tech'!D$3,IF($F17="CL",'Fleet Tech - Tech'!D$4,IF($F17="CA",'Fleet Tech - Tech'!D$5,IF($F17="BC",'Fleet Tech - Tech'!D$6,IF($F17="BB",'Fleet Tech - Tech'!D$7,IF($F17="CVL",'Fleet Tech - Tech'!D$8,IF($F17="CV",'Fleet Tech - Tech'!D$9,IF($F17="SS",'Fleet Tech - Tech'!D$10,IF($F17="BBV",'Fleet Tech - Tech'!D$11,IF($F17="CB",'Fleet Tech - Tech'!D$15,IF($F17="AE",'Fleet Tech - Tech'!D$16,IF($F17="IX",'Fleet Tech - Tech'!D$17,IF($F17="BM",'Fleet Tech - Tech'!D$13,IF($F17="AR",'Fleet Tech - Tech'!D$12,IF($F17="SSV",'Fleet Tech - Tech'!D$14,"nil"))))))))))))))),0)</f>
        <v>0</v>
      </c>
      <c r="AX17" s="12">
        <f>IF($H17=3,IF(OR($F17="DDV",$F17="DDG",$F17="DD"),'Fleet Tech - Tech'!E$3,IF($F17="CL",'Fleet Tech - Tech'!E$4,IF($F17="CA",'Fleet Tech - Tech'!E$5,IF($F17="BC",'Fleet Tech - Tech'!E$6,IF($F17="BB",'Fleet Tech - Tech'!E$7,IF($F17="CVL",'Fleet Tech - Tech'!E$8,IF($F17="CV",'Fleet Tech - Tech'!E$9,IF($F17="SS",'Fleet Tech - Tech'!E$10,IF($F17="BBV",'Fleet Tech - Tech'!E$11,IF($F17="CB",'Fleet Tech - Tech'!E$15,IF($F17="AE",'Fleet Tech - Tech'!E$16,IF($F17="IX",'Fleet Tech - Tech'!E$17,IF($F17="BM",'Fleet Tech - Tech'!E$13,IF($F17="AR",'Fleet Tech - Tech'!E$12,IF($F17="SSV",'Fleet Tech - Tech'!E$14,"nil"))))))))))))))),0)</f>
        <v>0</v>
      </c>
      <c r="AY17" s="12">
        <f>IF($H17=3,IF(OR($F17="DDV",$F17="DDG",$F17="DD"),'Fleet Tech - Tech'!F$3,IF($F17="CL",'Fleet Tech - Tech'!F$4,IF($F17="CA",'Fleet Tech - Tech'!F$5,IF($F17="BC",'Fleet Tech - Tech'!F$6,IF($F17="BB",'Fleet Tech - Tech'!F$7,IF($F17="CVL",'Fleet Tech - Tech'!F$8,IF($F17="CV",'Fleet Tech - Tech'!F$9,IF($F17="SS",'Fleet Tech - Tech'!F$10,IF($F17="BBV",'Fleet Tech - Tech'!F$11,IF($F17="CB",'Fleet Tech - Tech'!F$15,IF($F17="AE",'Fleet Tech - Tech'!F$16,IF($F17="IX",'Fleet Tech - Tech'!F$17,IF($F17="BM",'Fleet Tech - Tech'!F$13,IF($F17="AR",'Fleet Tech - Tech'!F$12,IF($F17="SSV",'Fleet Tech - Tech'!F$14,"nil"))))))))))))))),0)</f>
        <v>0</v>
      </c>
      <c r="AZ17" s="12">
        <f>IF($H17=3,IF(OR($F17="DDV",$F17="DDG",$F17="DD"),'Fleet Tech - Tech'!G$3,IF($F17="CL",'Fleet Tech - Tech'!G$4,IF($F17="CA",'Fleet Tech - Tech'!G$5,IF($F17="BC",'Fleet Tech - Tech'!G$6,IF($F17="BB",'Fleet Tech - Tech'!G$7,IF($F17="CVL",'Fleet Tech - Tech'!G$8,IF($F17="CV",'Fleet Tech - Tech'!G$9,IF($F17="SS",'Fleet Tech - Tech'!G$10,IF($F17="BBV",'Fleet Tech - Tech'!G$11,IF($F17="CB",'Fleet Tech - Tech'!G$15,IF($F17="AE",'Fleet Tech - Tech'!G$16,IF($F17="IX",'Fleet Tech - Tech'!G$17,IF($F17="BM",'Fleet Tech - Tech'!G$13,IF($F17="AR",'Fleet Tech - Tech'!G$12,IF($F17="SSV",'Fleet Tech - Tech'!G$14,"nil"))))))))))))))),0)</f>
        <v>0</v>
      </c>
      <c r="BA17" s="12">
        <f>IF($H17=3,IF(OR($F17="DDV",$F17="DDG",$F17="DD"),'Fleet Tech - Tech'!H$3,IF($F17="CL",'Fleet Tech - Tech'!H$4,IF($F17="CA",'Fleet Tech - Tech'!H$5,IF($F17="BC",'Fleet Tech - Tech'!H$6,IF($F17="BB",'Fleet Tech - Tech'!H$7,IF($F17="CVL",'Fleet Tech - Tech'!H$8,IF($F17="CV",'Fleet Tech - Tech'!H$9,IF($F17="SS",'Fleet Tech - Tech'!H$10,IF($F17="BBV",'Fleet Tech - Tech'!H$11,IF($F17="CB",'Fleet Tech - Tech'!H$15,IF($F17="AE",'Fleet Tech - Tech'!H$16,IF($F17="IX",'Fleet Tech - Tech'!H$17,IF($F17="BM",'Fleet Tech - Tech'!H$13,IF($F17="AR",'Fleet Tech - Tech'!H$12,IF($F17="SSV",'Fleet Tech - Tech'!H$14,"nil"))))))))))))))),0)</f>
        <v>0</v>
      </c>
      <c r="BB17" s="12">
        <f>IF($H17=3,IF(OR($F17="DDV",$F17="DDG",$F17="DD"),'Fleet Tech - Tech'!I$3,IF($F17="CL",'Fleet Tech - Tech'!I$4,IF($F17="CA",'Fleet Tech - Tech'!I$5,IF($F17="BC",'Fleet Tech - Tech'!I$6,IF($F17="BB",'Fleet Tech - Tech'!I$7,IF($F17="CVL",'Fleet Tech - Tech'!I$8,IF($F17="CV",'Fleet Tech - Tech'!I$9,IF($F17="SS",'Fleet Tech - Tech'!I$10,IF($F17="BBV",'Fleet Tech - Tech'!I$11,IF($F17="CB",'Fleet Tech - Tech'!I$15,IF($F17="AE",'Fleet Tech - Tech'!I$16,IF($F17="IX",'Fleet Tech - Tech'!I$17,IF($F17="BM",'Fleet Tech - Tech'!I$13,IF($F17="AR",'Fleet Tech - Tech'!I$12,IF($F17="SSV",'Fleet Tech - Tech'!I$14,"nil"))))))))))))))),0)</f>
        <v>0</v>
      </c>
      <c r="BC17" s="12">
        <f>IF($H17=3,IF(OR($F17="DDV",$F17="DDG",$F17="DD"),'Fleet Tech - Tech'!J$3,IF($F17="CL",'Fleet Tech - Tech'!J$4,IF($F17="CA",'Fleet Tech - Tech'!J$5,IF($F17="BC",'Fleet Tech - Tech'!J$6,IF($F17="BB",'Fleet Tech - Tech'!J$7,IF($F17="CVL",'Fleet Tech - Tech'!J$8,IF($F17="CV",'Fleet Tech - Tech'!J$9,IF($F17="SS",'Fleet Tech - Tech'!J$10,IF($F17="BBV",'Fleet Tech - Tech'!J$11,IF($F17="CB",'Fleet Tech - Tech'!J$15,IF($F17="AE",'Fleet Tech - Tech'!J$16,IF($F17="IX",'Fleet Tech - Tech'!J$17,IF($F17="BM",'Fleet Tech - Tech'!J$13,IF($F17="AR",'Fleet Tech - Tech'!J$12,IF($F17="SSV",'Fleet Tech - Tech'!J$14,"nil"))))))))))))))),0)</f>
        <v>0</v>
      </c>
      <c r="BD17" s="12">
        <f>IF($H17=3,IF(OR($F17="DDV",$F17="DDG",$F17="DD"),'Fleet Tech - Tech'!K$3,IF($F17="CL",'Fleet Tech - Tech'!K$4,IF($F17="CA",'Fleet Tech - Tech'!K$5,IF($F17="BC",'Fleet Tech - Tech'!K$6,IF($F17="BB",'Fleet Tech - Tech'!K$7,IF($F17="CVL",'Fleet Tech - Tech'!K$8,IF($F17="CV",'Fleet Tech - Tech'!K$9,IF($F17="SS",'Fleet Tech - Tech'!K$10,IF($F17="BBV",'Fleet Tech - Tech'!K$11,IF($F17="CB",'Fleet Tech - Tech'!K$15,IF($F17="AE",'Fleet Tech - Tech'!K$16,IF($F17="IX",'Fleet Tech - Tech'!K$17,IF($F17="BM",'Fleet Tech - Tech'!K$13,IF($F17="AR",'Fleet Tech - Tech'!K$12,IF($F17="SSV",'Fleet Tech - Tech'!K$14,"nil"))))))))))))))),0)</f>
        <v>0</v>
      </c>
      <c r="BE17" s="12">
        <f>IF($H17=3,IF(OR($F17="DDV",$F17="DDG",$F17="DD"),'Fleet Tech - Tech'!L$3,IF($F17="CL",'Fleet Tech - Tech'!L$4,IF($F17="CA",'Fleet Tech - Tech'!L$5,IF($F17="BC",'Fleet Tech - Tech'!L$6,IF($F17="BB",'Fleet Tech - Tech'!L$7,IF($F17="CVL",'Fleet Tech - Tech'!L$8,IF($F17="CV",'Fleet Tech - Tech'!L$9,IF($F17="SS",'Fleet Tech - Tech'!L$10,IF($F17="BBV",'Fleet Tech - Tech'!L$11,IF($F17="CB",'Fleet Tech - Tech'!L$15,IF($F17="AE",'Fleet Tech - Tech'!L$16,IF($F17="IX",'Fleet Tech - Tech'!L$17,IF($F17="BM",'Fleet Tech - Tech'!L$13,IF($F17="AR",'Fleet Tech - Tech'!L$12,IF($F17="SSV",'Fleet Tech - Tech'!L$14,"nil"))))))))))))))),0)</f>
        <v>0</v>
      </c>
      <c r="BF17" s="12">
        <f>IF($H17=3,IF(OR($F17="DDV",$F17="DDG",$F17="DD"),'Fleet Tech - Tech'!M$3,IF($F17="CL",'Fleet Tech - Tech'!M$4,IF($F17="CA",'Fleet Tech - Tech'!M$5,IF($F17="BC",'Fleet Tech - Tech'!M$6,IF($F17="BB",'Fleet Tech - Tech'!M$7,IF($F17="CVL",'Fleet Tech - Tech'!M$8,IF($F17="CV",'Fleet Tech - Tech'!M$9,IF($F17="SS",'Fleet Tech - Tech'!M$10,IF($F17="BBV",'Fleet Tech - Tech'!M$11,IF($F17="CB",'Fleet Tech - Tech'!M$15,IF($F17="AE",'Fleet Tech - Tech'!M$16,IF($F17="IX",'Fleet Tech - Tech'!M$17,IF($F17="BM",'Fleet Tech - Tech'!M$13,IF($F17="AR",'Fleet Tech - Tech'!M$12,IF($F17="SSV",'Fleet Tech - Tech'!M$14,"nil"))))))))))))))),0)</f>
        <v>0</v>
      </c>
      <c r="BG17" s="12">
        <f>IF($H17=3,IF(OR($F17="DDV",$F17="DDG",$F17="DD"),'Fleet Tech - Tech'!N$3,IF($F17="CL",'Fleet Tech - Tech'!N$4,IF($F17="CA",'Fleet Tech - Tech'!N$5,IF($F17="BC",'Fleet Tech - Tech'!N$6,IF($F17="BB",'Fleet Tech - Tech'!N$7,IF($F17="CVL",'Fleet Tech - Tech'!N$8,IF($F17="CV",'Fleet Tech - Tech'!N$9,IF($F17="SS",'Fleet Tech - Tech'!N$10,IF($F17="BBV",'Fleet Tech - Tech'!N$11,IF($F17="CB",'Fleet Tech - Tech'!N$15,IF($F17="AE",'Fleet Tech - Tech'!N$16,IF($F17="IX",'Fleet Tech - Tech'!N$17,IF($F17="BM",'Fleet Tech - Tech'!N$13,IF($F17="AR",'Fleet Tech - Tech'!N$12,IF($F17="SSV",'Fleet Tech - Tech'!N$14,"nil"))))))))))))))),0)</f>
        <v>0</v>
      </c>
      <c r="BH17" s="28"/>
      <c r="BI17" s="12">
        <v>3170</v>
      </c>
      <c r="BJ17" s="12">
        <v>127</v>
      </c>
      <c r="BK17" s="12">
        <v>78</v>
      </c>
      <c r="BL17" s="28"/>
      <c r="BM17" s="12">
        <v>45</v>
      </c>
      <c r="BN17" s="12">
        <v>66</v>
      </c>
      <c r="BO17" s="28"/>
      <c r="BP17" s="28"/>
      <c r="BQ17" s="12">
        <v>30</v>
      </c>
      <c r="BR17" s="12">
        <v>7</v>
      </c>
      <c r="BS17" s="12">
        <v>73</v>
      </c>
      <c r="BT17" s="12">
        <v>17</v>
      </c>
      <c r="BU17" s="12">
        <v>38</v>
      </c>
      <c r="BV17" s="12">
        <v>335</v>
      </c>
      <c r="BW17" s="28"/>
      <c r="BX17" s="12">
        <v>4</v>
      </c>
      <c r="BY17" s="12">
        <v>10</v>
      </c>
      <c r="BZ17" s="12">
        <v>4</v>
      </c>
      <c r="CA17" s="12">
        <v>3</v>
      </c>
      <c r="CB17" s="12">
        <v>4</v>
      </c>
      <c r="CC17" s="12">
        <v>10</v>
      </c>
      <c r="CD17" s="12">
        <v>4</v>
      </c>
      <c r="CE17" s="12">
        <v>2</v>
      </c>
      <c r="CF17" s="12">
        <v>-1</v>
      </c>
      <c r="CG17" s="12">
        <v>-1</v>
      </c>
      <c r="CH17" s="12">
        <v>-1</v>
      </c>
      <c r="CI17" s="12">
        <v>-1</v>
      </c>
      <c r="CJ17" s="47"/>
      <c r="CK17" s="48">
        <f>IF(BX17=5,320,IF(BX17=4,195,IF(BX17=3,132,IF(BX17=2,90,IF(BX17=1,58,IF(BX17=-1,0,35))))))</f>
        <v>195</v>
      </c>
      <c r="CL17" s="48">
        <f>IF(BX17=5,20,IF(BX17=4,15,IF(BX17=3,12,IF(BX17=2,10,IF(BX17=1,8,IF(BX17=-1,0,5))))))</f>
        <v>15</v>
      </c>
      <c r="CM17" s="48">
        <f>IF(BZ17=5,320,IF(BZ17=4,195,IF(BZ17=3,132,IF(BZ17=2,90,IF(BZ17=1,58,IF(BZ17=-1,0,35))))))</f>
        <v>195</v>
      </c>
      <c r="CN17" s="48">
        <f>IF(BZ17=5,20,IF(BZ17=4,15,IF(BZ17=3,12,IF(BZ17=2,10,IF(BZ17=1,8,IF(BZ17=-1,0,5))))))</f>
        <v>15</v>
      </c>
      <c r="CO17" s="48">
        <f>IF(CB17=5,320,IF(CB17=4,195,IF(CB17=3,132,IF(CB17=2,90,IF(CB17=1,58,IF(CB17=-1,0,35))))))</f>
        <v>195</v>
      </c>
      <c r="CP17" s="48">
        <f>IF(CB17=5,20,IF(CB17=4,15,IF(CB17=3,12,IF(CB17=2,10,IF(CB17=1,8,IF(CB17=-1,0,5))))))</f>
        <v>15</v>
      </c>
      <c r="CQ17" s="48">
        <f>IF(CD17=5,320,IF(CD17=4,195,IF(CD17=3,132,IF(CD17=2,90,IF(CD17=1,58,IF(CD17=-1,0,35))))))</f>
        <v>195</v>
      </c>
      <c r="CR17" s="48">
        <f>IF(CD17=5,20,IF(CD17=4,15,IF(CD17=3,12,IF(CD17=2,10,IF(CD17=1,8,IF(CD17=-1,0,5))))))</f>
        <v>15</v>
      </c>
      <c r="CS17" s="48">
        <f>IF(CF17=5,320,IF(CF17=4,195,IF(CF17=3,132,IF(CF17=2,90,IF(CF17=1,58,IF(CF17=-1,0,35))))))</f>
        <v>0</v>
      </c>
      <c r="CT17" s="48">
        <f>IF(CF17=5,20,IF(CF17=4,15,IF(CF17=3,12,IF(CF17=2,10,IF(CF17=1,8,IF(CF17=-1,0,5))))))</f>
        <v>0</v>
      </c>
      <c r="CU17" s="48">
        <f>IF(CH17=5,320,IF(CH17=4,195,IF(CH17=3,132,IF(CH17=2,90,IF(CH17=1,58,IF(CH17=-1,0,35))))))</f>
        <v>0</v>
      </c>
      <c r="CV17" s="48">
        <f>IF(CH17=5,20,IF(CH17=4,15,IF(CH17=3,12,IF(CH17=2,10,IF(CH17=1,8,IF(CH17=-1,0,5))))))</f>
        <v>0</v>
      </c>
      <c r="CW17" s="48">
        <f>IF(BY17&gt;10,(BY17/10)-ROUNDDOWN(BY17/10,0),0)+IF(CA17&gt;10,(CA17/10)-ROUNDDOWN(CA17/10,0),0)+IF(CC17&gt;10,(CC17/10)-ROUNDDOWN(CC17/10,0),0)+IF(CE17&gt;10,(CE17/10)-ROUNDDOWN(CE17/10,0),0)+IF(CG17&gt;10,(CG17/10)-ROUNDDOWN(CG17/10,0),0)+IF(CI17&gt;10,(CI17/10)-ROUNDDOWN(CI17/10,0),0)</f>
        <v>0</v>
      </c>
      <c r="CX17" s="48">
        <f>1+(CW17/10)</f>
        <v>1</v>
      </c>
    </row>
    <row r="18" ht="20.05" customHeight="1">
      <c r="A18" t="s" s="43">
        <v>283</v>
      </c>
      <c r="B18" s="49"/>
      <c r="C18" t="s" s="45">
        <v>279</v>
      </c>
      <c r="D18" s="13">
        <v>2</v>
      </c>
      <c r="E18" t="s" s="15">
        <v>232</v>
      </c>
      <c r="F18" t="s" s="15">
        <v>284</v>
      </c>
      <c r="G18" t="s" s="15">
        <v>282</v>
      </c>
      <c r="H18" s="12">
        <v>0</v>
      </c>
      <c r="I18" t="s" s="15">
        <v>235</v>
      </c>
      <c r="J18" s="12">
        <v>48</v>
      </c>
      <c r="K18" t="s" s="14">
        <v>236</v>
      </c>
      <c r="L18" t="s" s="15">
        <v>237</v>
      </c>
      <c r="M18" t="s" s="15">
        <v>25</v>
      </c>
      <c r="N18" s="46">
        <f>ROUND((SUM(AA18,T18:Y18,AC18:AE18,Z18*10)-AB18*15)*(IF(K18="Heavy",0.15,IF(K18="Medium",0,IF(K18="Light",-0.15,10)))+1),0)</f>
        <v>800</v>
      </c>
      <c r="O18" s="46">
        <v>2808</v>
      </c>
      <c r="P18" s="46">
        <f>ROUNDDOWN((BI18+AU18+AG18)/5,0)+(BJ18+AV18+AH18)+(BN18+AZ18+AL18)+(BO18+BA18+AM18)+(BK18+AW18+AI18)+(BS18+BE18+AQ18)+(BL18+AX18+AJ18)+(BQ18+BC18+AO18)+(2*((BT18+BF18+AR18)+(BU18+BG18+AS18)))+(CK18+CM18+CO18+CQ18+CS18+CU18)+(CL18*BY18)+(CN18*CA18)+(CP18+CC18)+(CR18+CE18)+(CT18+CG18)+(CV18+CI18)+BV18</f>
        <v>2864</v>
      </c>
      <c r="Q18" s="46">
        <f>ROUNDDOWN(((S18/5)+T18+X18+Y18+U18+AC18+V18+AA18+(2*(AD18+AE18))+CK18+CM18+CO18+CQ18+CS18+CU18+(CL18*BX18)+(CN18*BZ18)+(CP18*CB18)+(CR18*CD18)+(CT18*CF18)+(CV18*CH18))*CX18,0)</f>
        <v>2462</v>
      </c>
      <c r="R18" s="46">
        <f>ROUNDDOWN(AVERAGE(P18:Q18),0)</f>
        <v>2663</v>
      </c>
      <c r="S18" s="12">
        <f>AG18+AU18+BI18</f>
        <v>979</v>
      </c>
      <c r="T18" s="12">
        <f>AH18+AV18+BJ18</f>
        <v>42</v>
      </c>
      <c r="U18" s="12">
        <f>AI18+AW18+BK18</f>
        <v>171</v>
      </c>
      <c r="V18" s="12">
        <f>AJ18+AX18+BL18</f>
        <v>79</v>
      </c>
      <c r="W18" s="12">
        <f>AK18+AY18+BM18</f>
        <v>63</v>
      </c>
      <c r="X18" s="12">
        <f>AL18+AZ18+BN18</f>
        <v>226</v>
      </c>
      <c r="Y18" s="12">
        <f>AM18+BA18+BO18</f>
        <v>0</v>
      </c>
      <c r="Z18" s="12">
        <f>AN18+BB18+BP18</f>
        <v>0</v>
      </c>
      <c r="AA18" s="12">
        <f>AO18+BC18+BQ18</f>
        <v>49</v>
      </c>
      <c r="AB18" s="12">
        <f>AP18+BD18+BR18</f>
        <v>3</v>
      </c>
      <c r="AC18" s="12">
        <f>AQ18+BE18+BS18</f>
        <v>113</v>
      </c>
      <c r="AD18" s="12">
        <f>AR18+BF18+BT18</f>
        <v>104</v>
      </c>
      <c r="AE18" s="12">
        <f>AS18+BG18+BU18</f>
        <v>139</v>
      </c>
      <c r="AF18" s="28"/>
      <c r="AG18" s="28"/>
      <c r="AH18" s="12">
        <v>15</v>
      </c>
      <c r="AI18" s="12">
        <v>75</v>
      </c>
      <c r="AJ18" s="28"/>
      <c r="AK18" s="28"/>
      <c r="AL18" s="12">
        <v>90</v>
      </c>
      <c r="AM18" s="28"/>
      <c r="AN18" s="28"/>
      <c r="AO18" s="12">
        <v>6</v>
      </c>
      <c r="AP18" s="28"/>
      <c r="AQ18" s="12">
        <v>10</v>
      </c>
      <c r="AR18" s="28"/>
      <c r="AS18" s="12">
        <v>26</v>
      </c>
      <c r="AT18" s="28"/>
      <c r="AU18" s="12">
        <f>IF($H18=3,IF(OR($F18="DDV",$F18="DDG",$F18="DD"),'Fleet Tech - Tech'!B$3,IF($F18="CL",'Fleet Tech - Tech'!B$4,IF($F18="CA",'Fleet Tech - Tech'!B$5,IF($F18="BC",'Fleet Tech - Tech'!B$6,IF($F18="BB",'Fleet Tech - Tech'!B$7,IF($F18="CVL",'Fleet Tech - Tech'!B$8,IF($F18="CV",'Fleet Tech - Tech'!B$9,IF($F18="SS",'Fleet Tech - Tech'!B$10,IF($F18="BBV",'Fleet Tech - Tech'!B$11,IF($F18="CB",'Fleet Tech - Tech'!B$15,IF($F18="AE",'Fleet Tech - Tech'!B$16,IF($F18="IX",'Fleet Tech - Tech'!B$17,IF($F18="BM",'Fleet Tech - Tech'!B$13,IF($F18="AR",'Fleet Tech - Tech'!B$12,IF($F18="SSV",'Fleet Tech - Tech'!B$14,"nil"))))))))))))))),0)</f>
        <v>0</v>
      </c>
      <c r="AV18" s="12">
        <f>IF($H18=3,IF(OR($F18="DDV",$F18="DDG",$F18="DD"),'Fleet Tech - Tech'!C$3,IF($F18="CL",'Fleet Tech - Tech'!C$4,IF($F18="CA",'Fleet Tech - Tech'!C$5,IF($F18="BC",'Fleet Tech - Tech'!C$6,IF($F18="BB",'Fleet Tech - Tech'!C$7,IF($F18="CVL",'Fleet Tech - Tech'!C$8,IF($F18="CV",'Fleet Tech - Tech'!C$9,IF($F18="SS",'Fleet Tech - Tech'!C$10,IF($F18="BBV",'Fleet Tech - Tech'!C$11,IF($F18="CB",'Fleet Tech - Tech'!C$15,IF($F18="AE",'Fleet Tech - Tech'!C$16,IF($F18="IX",'Fleet Tech - Tech'!C$17,IF($F18="BM",'Fleet Tech - Tech'!C$13,IF($F18="AR",'Fleet Tech - Tech'!C$12,IF($F18="SSV",'Fleet Tech - Tech'!C$14,"nil"))))))))))))))),0)</f>
        <v>0</v>
      </c>
      <c r="AW18" s="12">
        <f>IF($H18=3,IF(OR($F18="DDV",$F18="DDG",$F18="DD"),'Fleet Tech - Tech'!D$3,IF($F18="CL",'Fleet Tech - Tech'!D$4,IF($F18="CA",'Fleet Tech - Tech'!D$5,IF($F18="BC",'Fleet Tech - Tech'!D$6,IF($F18="BB",'Fleet Tech - Tech'!D$7,IF($F18="CVL",'Fleet Tech - Tech'!D$8,IF($F18="CV",'Fleet Tech - Tech'!D$9,IF($F18="SS",'Fleet Tech - Tech'!D$10,IF($F18="BBV",'Fleet Tech - Tech'!D$11,IF($F18="CB",'Fleet Tech - Tech'!D$15,IF($F18="AE",'Fleet Tech - Tech'!D$16,IF($F18="IX",'Fleet Tech - Tech'!D$17,IF($F18="BM",'Fleet Tech - Tech'!D$13,IF($F18="AR",'Fleet Tech - Tech'!D$12,IF($F18="SSV",'Fleet Tech - Tech'!D$14,"nil"))))))))))))))),0)</f>
        <v>0</v>
      </c>
      <c r="AX18" s="12">
        <f>IF($H18=3,IF(OR($F18="DDV",$F18="DDG",$F18="DD"),'Fleet Tech - Tech'!E$3,IF($F18="CL",'Fleet Tech - Tech'!E$4,IF($F18="CA",'Fleet Tech - Tech'!E$5,IF($F18="BC",'Fleet Tech - Tech'!E$6,IF($F18="BB",'Fleet Tech - Tech'!E$7,IF($F18="CVL",'Fleet Tech - Tech'!E$8,IF($F18="CV",'Fleet Tech - Tech'!E$9,IF($F18="SS",'Fleet Tech - Tech'!E$10,IF($F18="BBV",'Fleet Tech - Tech'!E$11,IF($F18="CB",'Fleet Tech - Tech'!E$15,IF($F18="AE",'Fleet Tech - Tech'!E$16,IF($F18="IX",'Fleet Tech - Tech'!E$17,IF($F18="BM",'Fleet Tech - Tech'!E$13,IF($F18="AR",'Fleet Tech - Tech'!E$12,IF($F18="SSV",'Fleet Tech - Tech'!E$14,"nil"))))))))))))))),0)</f>
        <v>0</v>
      </c>
      <c r="AY18" s="12">
        <f>IF($H18=3,IF(OR($F18="DDV",$F18="DDG",$F18="DD"),'Fleet Tech - Tech'!F$3,IF($F18="CL",'Fleet Tech - Tech'!F$4,IF($F18="CA",'Fleet Tech - Tech'!F$5,IF($F18="BC",'Fleet Tech - Tech'!F$6,IF($F18="BB",'Fleet Tech - Tech'!F$7,IF($F18="CVL",'Fleet Tech - Tech'!F$8,IF($F18="CV",'Fleet Tech - Tech'!F$9,IF($F18="SS",'Fleet Tech - Tech'!F$10,IF($F18="BBV",'Fleet Tech - Tech'!F$11,IF($F18="CB",'Fleet Tech - Tech'!F$15,IF($F18="AE",'Fleet Tech - Tech'!F$16,IF($F18="IX",'Fleet Tech - Tech'!F$17,IF($F18="BM",'Fleet Tech - Tech'!F$13,IF($F18="AR",'Fleet Tech - Tech'!F$12,IF($F18="SSV",'Fleet Tech - Tech'!F$14,"nil"))))))))))))))),0)</f>
        <v>0</v>
      </c>
      <c r="AZ18" s="12">
        <f>IF($H18=3,IF(OR($F18="DDV",$F18="DDG",$F18="DD"),'Fleet Tech - Tech'!G$3,IF($F18="CL",'Fleet Tech - Tech'!G$4,IF($F18="CA",'Fleet Tech - Tech'!G$5,IF($F18="BC",'Fleet Tech - Tech'!G$6,IF($F18="BB",'Fleet Tech - Tech'!G$7,IF($F18="CVL",'Fleet Tech - Tech'!G$8,IF($F18="CV",'Fleet Tech - Tech'!G$9,IF($F18="SS",'Fleet Tech - Tech'!G$10,IF($F18="BBV",'Fleet Tech - Tech'!G$11,IF($F18="CB",'Fleet Tech - Tech'!G$15,IF($F18="AE",'Fleet Tech - Tech'!G$16,IF($F18="IX",'Fleet Tech - Tech'!G$17,IF($F18="BM",'Fleet Tech - Tech'!G$13,IF($F18="AR",'Fleet Tech - Tech'!G$12,IF($F18="SSV",'Fleet Tech - Tech'!G$14,"nil"))))))))))))))),0)</f>
        <v>0</v>
      </c>
      <c r="BA18" s="12">
        <f>IF($H18=3,IF(OR($F18="DDV",$F18="DDG",$F18="DD"),'Fleet Tech - Tech'!H$3,IF($F18="CL",'Fleet Tech - Tech'!H$4,IF($F18="CA",'Fleet Tech - Tech'!H$5,IF($F18="BC",'Fleet Tech - Tech'!H$6,IF($F18="BB",'Fleet Tech - Tech'!H$7,IF($F18="CVL",'Fleet Tech - Tech'!H$8,IF($F18="CV",'Fleet Tech - Tech'!H$9,IF($F18="SS",'Fleet Tech - Tech'!H$10,IF($F18="BBV",'Fleet Tech - Tech'!H$11,IF($F18="CB",'Fleet Tech - Tech'!H$15,IF($F18="AE",'Fleet Tech - Tech'!H$16,IF($F18="IX",'Fleet Tech - Tech'!H$17,IF($F18="BM",'Fleet Tech - Tech'!H$13,IF($F18="AR",'Fleet Tech - Tech'!H$12,IF($F18="SSV",'Fleet Tech - Tech'!H$14,"nil"))))))))))))))),0)</f>
        <v>0</v>
      </c>
      <c r="BB18" s="12">
        <f>IF($H18=3,IF(OR($F18="DDV",$F18="DDG",$F18="DD"),'Fleet Tech - Tech'!I$3,IF($F18="CL",'Fleet Tech - Tech'!I$4,IF($F18="CA",'Fleet Tech - Tech'!I$5,IF($F18="BC",'Fleet Tech - Tech'!I$6,IF($F18="BB",'Fleet Tech - Tech'!I$7,IF($F18="CVL",'Fleet Tech - Tech'!I$8,IF($F18="CV",'Fleet Tech - Tech'!I$9,IF($F18="SS",'Fleet Tech - Tech'!I$10,IF($F18="BBV",'Fleet Tech - Tech'!I$11,IF($F18="CB",'Fleet Tech - Tech'!I$15,IF($F18="AE",'Fleet Tech - Tech'!I$16,IF($F18="IX",'Fleet Tech - Tech'!I$17,IF($F18="BM",'Fleet Tech - Tech'!I$13,IF($F18="AR",'Fleet Tech - Tech'!I$12,IF($F18="SSV",'Fleet Tech - Tech'!I$14,"nil"))))))))))))))),0)</f>
        <v>0</v>
      </c>
      <c r="BC18" s="12">
        <f>IF($H18=3,IF(OR($F18="DDV",$F18="DDG",$F18="DD"),'Fleet Tech - Tech'!J$3,IF($F18="CL",'Fleet Tech - Tech'!J$4,IF($F18="CA",'Fleet Tech - Tech'!J$5,IF($F18="BC",'Fleet Tech - Tech'!J$6,IF($F18="BB",'Fleet Tech - Tech'!J$7,IF($F18="CVL",'Fleet Tech - Tech'!J$8,IF($F18="CV",'Fleet Tech - Tech'!J$9,IF($F18="SS",'Fleet Tech - Tech'!J$10,IF($F18="BBV",'Fleet Tech - Tech'!J$11,IF($F18="CB",'Fleet Tech - Tech'!J$15,IF($F18="AE",'Fleet Tech - Tech'!J$16,IF($F18="IX",'Fleet Tech - Tech'!J$17,IF($F18="BM",'Fleet Tech - Tech'!J$13,IF($F18="AR",'Fleet Tech - Tech'!J$12,IF($F18="SSV",'Fleet Tech - Tech'!J$14,"nil"))))))))))))))),0)</f>
        <v>0</v>
      </c>
      <c r="BD18" s="12">
        <f>IF($H18=3,IF(OR($F18="DDV",$F18="DDG",$F18="DD"),'Fleet Tech - Tech'!K$3,IF($F18="CL",'Fleet Tech - Tech'!K$4,IF($F18="CA",'Fleet Tech - Tech'!K$5,IF($F18="BC",'Fleet Tech - Tech'!K$6,IF($F18="BB",'Fleet Tech - Tech'!K$7,IF($F18="CVL",'Fleet Tech - Tech'!K$8,IF($F18="CV",'Fleet Tech - Tech'!K$9,IF($F18="SS",'Fleet Tech - Tech'!K$10,IF($F18="BBV",'Fleet Tech - Tech'!K$11,IF($F18="CB",'Fleet Tech - Tech'!K$15,IF($F18="AE",'Fleet Tech - Tech'!K$16,IF($F18="IX",'Fleet Tech - Tech'!K$17,IF($F18="BM",'Fleet Tech - Tech'!K$13,IF($F18="AR",'Fleet Tech - Tech'!K$12,IF($F18="SSV",'Fleet Tech - Tech'!K$14,"nil"))))))))))))))),0)</f>
        <v>0</v>
      </c>
      <c r="BE18" s="12">
        <f>IF($H18=3,IF(OR($F18="DDV",$F18="DDG",$F18="DD"),'Fleet Tech - Tech'!L$3,IF($F18="CL",'Fleet Tech - Tech'!L$4,IF($F18="CA",'Fleet Tech - Tech'!L$5,IF($F18="BC",'Fleet Tech - Tech'!L$6,IF($F18="BB",'Fleet Tech - Tech'!L$7,IF($F18="CVL",'Fleet Tech - Tech'!L$8,IF($F18="CV",'Fleet Tech - Tech'!L$9,IF($F18="SS",'Fleet Tech - Tech'!L$10,IF($F18="BBV",'Fleet Tech - Tech'!L$11,IF($F18="CB",'Fleet Tech - Tech'!L$15,IF($F18="AE",'Fleet Tech - Tech'!L$16,IF($F18="IX",'Fleet Tech - Tech'!L$17,IF($F18="BM",'Fleet Tech - Tech'!L$13,IF($F18="AR",'Fleet Tech - Tech'!L$12,IF($F18="SSV",'Fleet Tech - Tech'!L$14,"nil"))))))))))))))),0)</f>
        <v>0</v>
      </c>
      <c r="BF18" s="12">
        <f>IF($H18=3,IF(OR($F18="DDV",$F18="DDG",$F18="DD"),'Fleet Tech - Tech'!M$3,IF($F18="CL",'Fleet Tech - Tech'!M$4,IF($F18="CA",'Fleet Tech - Tech'!M$5,IF($F18="BC",'Fleet Tech - Tech'!M$6,IF($F18="BB",'Fleet Tech - Tech'!M$7,IF($F18="CVL",'Fleet Tech - Tech'!M$8,IF($F18="CV",'Fleet Tech - Tech'!M$9,IF($F18="SS",'Fleet Tech - Tech'!M$10,IF($F18="BBV",'Fleet Tech - Tech'!M$11,IF($F18="CB",'Fleet Tech - Tech'!M$15,IF($F18="AE",'Fleet Tech - Tech'!M$16,IF($F18="IX",'Fleet Tech - Tech'!M$17,IF($F18="BM",'Fleet Tech - Tech'!M$13,IF($F18="AR",'Fleet Tech - Tech'!M$12,IF($F18="SSV",'Fleet Tech - Tech'!M$14,"nil"))))))))))))))),0)</f>
        <v>0</v>
      </c>
      <c r="BG18" s="12">
        <f>IF($H18=3,IF(OR($F18="DDV",$F18="DDG",$F18="DD"),'Fleet Tech - Tech'!N$3,IF($F18="CL",'Fleet Tech - Tech'!N$4,IF($F18="CA",'Fleet Tech - Tech'!N$5,IF($F18="BC",'Fleet Tech - Tech'!N$6,IF($F18="BB",'Fleet Tech - Tech'!N$7,IF($F18="CVL",'Fleet Tech - Tech'!N$8,IF($F18="CV",'Fleet Tech - Tech'!N$9,IF($F18="SS",'Fleet Tech - Tech'!N$10,IF($F18="BBV",'Fleet Tech - Tech'!N$11,IF($F18="CB",'Fleet Tech - Tech'!N$15,IF($F18="AE",'Fleet Tech - Tech'!N$16,IF($F18="IX",'Fleet Tech - Tech'!N$17,IF($F18="BM",'Fleet Tech - Tech'!N$13,IF($F18="AR",'Fleet Tech - Tech'!N$12,IF($F18="SSV",'Fleet Tech - Tech'!N$14,"nil"))))))))))))))),0)</f>
        <v>0</v>
      </c>
      <c r="BH18" s="28"/>
      <c r="BI18" s="12">
        <v>979</v>
      </c>
      <c r="BJ18" s="12">
        <v>27</v>
      </c>
      <c r="BK18" s="12">
        <v>96</v>
      </c>
      <c r="BL18" s="12">
        <v>79</v>
      </c>
      <c r="BM18" s="12">
        <v>63</v>
      </c>
      <c r="BN18" s="12">
        <v>136</v>
      </c>
      <c r="BO18" s="28"/>
      <c r="BP18" s="28"/>
      <c r="BQ18" s="12">
        <v>43</v>
      </c>
      <c r="BR18" s="12">
        <v>3</v>
      </c>
      <c r="BS18" s="12">
        <v>103</v>
      </c>
      <c r="BT18" s="12">
        <v>104</v>
      </c>
      <c r="BU18" s="12">
        <v>113</v>
      </c>
      <c r="BV18" s="12">
        <v>335</v>
      </c>
      <c r="BW18" s="28"/>
      <c r="BX18" s="12">
        <v>4</v>
      </c>
      <c r="BY18" s="12">
        <v>7</v>
      </c>
      <c r="BZ18" s="12">
        <v>4</v>
      </c>
      <c r="CA18" s="12">
        <v>10</v>
      </c>
      <c r="CB18" s="12">
        <v>4</v>
      </c>
      <c r="CC18" s="12">
        <v>10</v>
      </c>
      <c r="CD18" s="12">
        <v>3</v>
      </c>
      <c r="CE18" s="12">
        <v>10</v>
      </c>
      <c r="CF18" s="12">
        <v>3</v>
      </c>
      <c r="CG18" s="12">
        <v>6</v>
      </c>
      <c r="CH18" s="12">
        <v>-1</v>
      </c>
      <c r="CI18" s="12">
        <v>-1</v>
      </c>
      <c r="CJ18" s="47"/>
      <c r="CK18" s="48">
        <f>IF(BX18=5,320,IF(BX18=4,195,IF(BX18=3,132,IF(BX18=2,90,IF(BX18=1,58,IF(BX18=-1,0,35))))))</f>
        <v>195</v>
      </c>
      <c r="CL18" s="48">
        <f>IF(BX18=5,20,IF(BX18=4,15,IF(BX18=3,12,IF(BX18=2,10,IF(BX18=1,8,IF(BX18=-1,0,5))))))</f>
        <v>15</v>
      </c>
      <c r="CM18" s="48">
        <f>IF(BZ18=5,320,IF(BZ18=4,195,IF(BZ18=3,132,IF(BZ18=2,90,IF(BZ18=1,58,IF(BZ18=-1,0,35))))))</f>
        <v>195</v>
      </c>
      <c r="CN18" s="48">
        <f>IF(BZ18=5,20,IF(BZ18=4,15,IF(BZ18=3,12,IF(BZ18=2,10,IF(BZ18=1,8,IF(BZ18=-1,0,5))))))</f>
        <v>15</v>
      </c>
      <c r="CO18" s="48">
        <f>IF(CB18=5,320,IF(CB18=4,195,IF(CB18=3,132,IF(CB18=2,90,IF(CB18=1,58,IF(CB18=-1,0,35))))))</f>
        <v>195</v>
      </c>
      <c r="CP18" s="48">
        <f>IF(CB18=5,20,IF(CB18=4,15,IF(CB18=3,12,IF(CB18=2,10,IF(CB18=1,8,IF(CB18=-1,0,5))))))</f>
        <v>15</v>
      </c>
      <c r="CQ18" s="48">
        <f>IF(CD18=5,320,IF(CD18=4,195,IF(CD18=3,132,IF(CD18=2,90,IF(CD18=1,58,IF(CD18=-1,0,35))))))</f>
        <v>132</v>
      </c>
      <c r="CR18" s="48">
        <f>IF(CD18=5,20,IF(CD18=4,15,IF(CD18=3,12,IF(CD18=2,10,IF(CD18=1,8,IF(CD18=-1,0,5))))))</f>
        <v>12</v>
      </c>
      <c r="CS18" s="48">
        <f>IF(CF18=5,320,IF(CF18=4,195,IF(CF18=3,132,IF(CF18=2,90,IF(CF18=1,58,IF(CF18=-1,0,35))))))</f>
        <v>132</v>
      </c>
      <c r="CT18" s="48">
        <f>IF(CF18=5,20,IF(CF18=4,15,IF(CF18=3,12,IF(CF18=2,10,IF(CF18=1,8,IF(CF18=-1,0,5))))))</f>
        <v>12</v>
      </c>
      <c r="CU18" s="48">
        <f>IF(CH18=5,320,IF(CH18=4,195,IF(CH18=3,132,IF(CH18=2,90,IF(CH18=1,58,IF(CH18=-1,0,35))))))</f>
        <v>0</v>
      </c>
      <c r="CV18" s="48">
        <f>IF(CH18=5,20,IF(CH18=4,15,IF(CH18=3,12,IF(CH18=2,10,IF(CH18=1,8,IF(CH18=-1,0,5))))))</f>
        <v>0</v>
      </c>
      <c r="CW18" s="48">
        <f>IF(BY18&gt;10,(BY18/10)-ROUNDDOWN(BY18/10,0),0)+IF(CA18&gt;10,(CA18/10)-ROUNDDOWN(CA18/10,0),0)+IF(CC18&gt;10,(CC18/10)-ROUNDDOWN(CC18/10,0),0)+IF(CE18&gt;10,(CE18/10)-ROUNDDOWN(CE18/10,0),0)+IF(CG18&gt;10,(CG18/10)-ROUNDDOWN(CG18/10,0),0)+IF(CI18&gt;10,(CI18/10)-ROUNDDOWN(CI18/10,0),0)</f>
        <v>0</v>
      </c>
      <c r="CX18" s="48">
        <f>1+(CW18/10)</f>
        <v>1</v>
      </c>
    </row>
    <row r="19" ht="20.05" customHeight="1">
      <c r="A19" t="s" s="43">
        <v>285</v>
      </c>
      <c r="B19" s="49"/>
      <c r="C19" t="s" s="45">
        <v>279</v>
      </c>
      <c r="D19" s="13">
        <v>2</v>
      </c>
      <c r="E19" t="s" s="15">
        <v>232</v>
      </c>
      <c r="F19" t="s" s="15">
        <v>275</v>
      </c>
      <c r="G19" t="s" s="15">
        <v>282</v>
      </c>
      <c r="H19" s="12">
        <v>0</v>
      </c>
      <c r="I19" t="s" s="15">
        <v>235</v>
      </c>
      <c r="J19" s="12">
        <v>22</v>
      </c>
      <c r="K19" t="s" s="14">
        <v>242</v>
      </c>
      <c r="L19" t="s" s="15">
        <v>237</v>
      </c>
      <c r="M19" t="s" s="15">
        <v>25</v>
      </c>
      <c r="N19" s="46">
        <f>ROUND((SUM(AA19,T19:Y19,AC19:AE19,Z19*10)-AB19*15)*(IF(K19="Heavy",0.15,IF(K19="Medium",0,IF(K19="Light",-0.15,10)))+1),0)</f>
        <v>560</v>
      </c>
      <c r="O19" s="46">
        <v>2150</v>
      </c>
      <c r="P19" s="46">
        <f>ROUNDDOWN((BI19+AU19+AG19)/5,0)+(BJ19+AV19+AH19)+(BN19+AZ19+AL19)+(BO19+BA19+AM19)+(BK19+AW19+AI19)+(BS19+BE19+AQ19)+(BL19+AX19+AJ19)+(BQ19+BC19+AO19)+(2*((BT19+BF19+AR19)+(BU19+BG19+AS19)))+(CK19+CM19+CO19+CQ19+CS19+CU19)+(CL19*BY19)+(CN19*CA19)+(CP19+CC19)+(CR19+CE19)+(CT19+CG19)+(CV19+CI19)+BV19</f>
        <v>2273</v>
      </c>
      <c r="Q19" s="46">
        <f>ROUNDDOWN(((S19/5)+T19+X19+Y19+U19+AC19+V19+AA19+(2*(AD19+AE19))+CK19+CM19+CO19+CQ19+CS19+CU19+(CL19*BX19)+(CN19*BZ19)+(CP19*CB19)+(CR19*CD19)+(CT19*CF19)+(CV19*CH19))*CX19,0)</f>
        <v>2087</v>
      </c>
      <c r="R19" s="46">
        <f>ROUNDDOWN(AVERAGE(P19:Q19),0)</f>
        <v>2180</v>
      </c>
      <c r="S19" s="12">
        <f>AG19+AU19+BI19</f>
        <v>1570</v>
      </c>
      <c r="T19" s="12">
        <f>AH19+AV19+BJ19</f>
        <v>120</v>
      </c>
      <c r="U19" s="12">
        <f>AI19+AW19+BK19</f>
        <v>110</v>
      </c>
      <c r="V19" s="12">
        <f>AJ19+AX19+BL19</f>
        <v>0</v>
      </c>
      <c r="W19" s="12">
        <f>AK19+AY19+BM19</f>
        <v>50</v>
      </c>
      <c r="X19" s="12">
        <f>AL19+AZ19+BN19</f>
        <v>105</v>
      </c>
      <c r="Y19" s="12">
        <f>AM19+BA19+BO19</f>
        <v>0</v>
      </c>
      <c r="Z19" s="12">
        <f>AN19+BB19+BP19</f>
        <v>0</v>
      </c>
      <c r="AA19" s="12">
        <f>AO19+BC19+BQ19</f>
        <v>31</v>
      </c>
      <c r="AB19" s="12">
        <f>AP19+BD19+BR19</f>
        <v>4</v>
      </c>
      <c r="AC19" s="12">
        <f>AQ19+BE19+BS19</f>
        <v>102</v>
      </c>
      <c r="AD19" s="12">
        <f>AR19+BF19+BT19</f>
        <v>20</v>
      </c>
      <c r="AE19" s="12">
        <f>AS19+BG19+BU19</f>
        <v>82</v>
      </c>
      <c r="AF19" s="28"/>
      <c r="AG19" s="28"/>
      <c r="AH19" s="12">
        <v>50</v>
      </c>
      <c r="AI19" s="12">
        <v>45</v>
      </c>
      <c r="AJ19" s="28"/>
      <c r="AK19" s="28"/>
      <c r="AL19" s="12">
        <v>45</v>
      </c>
      <c r="AM19" s="28"/>
      <c r="AN19" s="28"/>
      <c r="AO19" s="12">
        <v>5</v>
      </c>
      <c r="AP19" s="28"/>
      <c r="AQ19" s="12">
        <v>26</v>
      </c>
      <c r="AR19" s="28"/>
      <c r="AS19" s="12">
        <v>22</v>
      </c>
      <c r="AT19" s="28"/>
      <c r="AU19" s="12">
        <f>IF($H19=3,IF(OR($F19="DDV",$F19="DDG",$F19="DD"),'Fleet Tech - Tech'!B$3,IF($F19="CL",'Fleet Tech - Tech'!B$4,IF($F19="CA",'Fleet Tech - Tech'!B$5,IF($F19="BC",'Fleet Tech - Tech'!B$6,IF($F19="BB",'Fleet Tech - Tech'!B$7,IF($F19="CVL",'Fleet Tech - Tech'!B$8,IF($F19="CV",'Fleet Tech - Tech'!B$9,IF($F19="SS",'Fleet Tech - Tech'!B$10,IF($F19="BBV",'Fleet Tech - Tech'!B$11,IF($F19="CB",'Fleet Tech - Tech'!B$15,IF($F19="AE",'Fleet Tech - Tech'!B$16,IF($F19="IX",'Fleet Tech - Tech'!B$17,IF($F19="BM",'Fleet Tech - Tech'!B$13,IF($F19="AR",'Fleet Tech - Tech'!B$12,IF($F19="SSV",'Fleet Tech - Tech'!B$14,"nil"))))))))))))))),0)</f>
        <v>0</v>
      </c>
      <c r="AV19" s="12">
        <f>IF($H19=3,IF(OR($F19="DDV",$F19="DDG",$F19="DD"),'Fleet Tech - Tech'!C$3,IF($F19="CL",'Fleet Tech - Tech'!C$4,IF($F19="CA",'Fleet Tech - Tech'!C$5,IF($F19="BC",'Fleet Tech - Tech'!C$6,IF($F19="BB",'Fleet Tech - Tech'!C$7,IF($F19="CVL",'Fleet Tech - Tech'!C$8,IF($F19="CV",'Fleet Tech - Tech'!C$9,IF($F19="SS",'Fleet Tech - Tech'!C$10,IF($F19="BBV",'Fleet Tech - Tech'!C$11,IF($F19="CB",'Fleet Tech - Tech'!C$15,IF($F19="AE",'Fleet Tech - Tech'!C$16,IF($F19="IX",'Fleet Tech - Tech'!C$17,IF($F19="BM",'Fleet Tech - Tech'!C$13,IF($F19="AR",'Fleet Tech - Tech'!C$12,IF($F19="SSV",'Fleet Tech - Tech'!C$14,"nil"))))))))))))))),0)</f>
        <v>0</v>
      </c>
      <c r="AW19" s="12">
        <f>IF($H19=3,IF(OR($F19="DDV",$F19="DDG",$F19="DD"),'Fleet Tech - Tech'!D$3,IF($F19="CL",'Fleet Tech - Tech'!D$4,IF($F19="CA",'Fleet Tech - Tech'!D$5,IF($F19="BC",'Fleet Tech - Tech'!D$6,IF($F19="BB",'Fleet Tech - Tech'!D$7,IF($F19="CVL",'Fleet Tech - Tech'!D$8,IF($F19="CV",'Fleet Tech - Tech'!D$9,IF($F19="SS",'Fleet Tech - Tech'!D$10,IF($F19="BBV",'Fleet Tech - Tech'!D$11,IF($F19="CB",'Fleet Tech - Tech'!D$15,IF($F19="AE",'Fleet Tech - Tech'!D$16,IF($F19="IX",'Fleet Tech - Tech'!D$17,IF($F19="BM",'Fleet Tech - Tech'!D$13,IF($F19="AR",'Fleet Tech - Tech'!D$12,IF($F19="SSV",'Fleet Tech - Tech'!D$14,"nil"))))))))))))))),0)</f>
        <v>0</v>
      </c>
      <c r="AX19" s="12">
        <f>IF($H19=3,IF(OR($F19="DDV",$F19="DDG",$F19="DD"),'Fleet Tech - Tech'!E$3,IF($F19="CL",'Fleet Tech - Tech'!E$4,IF($F19="CA",'Fleet Tech - Tech'!E$5,IF($F19="BC",'Fleet Tech - Tech'!E$6,IF($F19="BB",'Fleet Tech - Tech'!E$7,IF($F19="CVL",'Fleet Tech - Tech'!E$8,IF($F19="CV",'Fleet Tech - Tech'!E$9,IF($F19="SS",'Fleet Tech - Tech'!E$10,IF($F19="BBV",'Fleet Tech - Tech'!E$11,IF($F19="CB",'Fleet Tech - Tech'!E$15,IF($F19="AE",'Fleet Tech - Tech'!E$16,IF($F19="IX",'Fleet Tech - Tech'!E$17,IF($F19="BM",'Fleet Tech - Tech'!E$13,IF($F19="AR",'Fleet Tech - Tech'!E$12,IF($F19="SSV",'Fleet Tech - Tech'!E$14,"nil"))))))))))))))),0)</f>
        <v>0</v>
      </c>
      <c r="AY19" s="12">
        <f>IF($H19=3,IF(OR($F19="DDV",$F19="DDG",$F19="DD"),'Fleet Tech - Tech'!F$3,IF($F19="CL",'Fleet Tech - Tech'!F$4,IF($F19="CA",'Fleet Tech - Tech'!F$5,IF($F19="BC",'Fleet Tech - Tech'!F$6,IF($F19="BB",'Fleet Tech - Tech'!F$7,IF($F19="CVL",'Fleet Tech - Tech'!F$8,IF($F19="CV",'Fleet Tech - Tech'!F$9,IF($F19="SS",'Fleet Tech - Tech'!F$10,IF($F19="BBV",'Fleet Tech - Tech'!F$11,IF($F19="CB",'Fleet Tech - Tech'!F$15,IF($F19="AE",'Fleet Tech - Tech'!F$16,IF($F19="IX",'Fleet Tech - Tech'!F$17,IF($F19="BM",'Fleet Tech - Tech'!F$13,IF($F19="AR",'Fleet Tech - Tech'!F$12,IF($F19="SSV",'Fleet Tech - Tech'!F$14,"nil"))))))))))))))),0)</f>
        <v>0</v>
      </c>
      <c r="AZ19" s="12">
        <f>IF($H19=3,IF(OR($F19="DDV",$F19="DDG",$F19="DD"),'Fleet Tech - Tech'!G$3,IF($F19="CL",'Fleet Tech - Tech'!G$4,IF($F19="CA",'Fleet Tech - Tech'!G$5,IF($F19="BC",'Fleet Tech - Tech'!G$6,IF($F19="BB",'Fleet Tech - Tech'!G$7,IF($F19="CVL",'Fleet Tech - Tech'!G$8,IF($F19="CV",'Fleet Tech - Tech'!G$9,IF($F19="SS",'Fleet Tech - Tech'!G$10,IF($F19="BBV",'Fleet Tech - Tech'!G$11,IF($F19="CB",'Fleet Tech - Tech'!G$15,IF($F19="AE",'Fleet Tech - Tech'!G$16,IF($F19="IX",'Fleet Tech - Tech'!G$17,IF($F19="BM",'Fleet Tech - Tech'!G$13,IF($F19="AR",'Fleet Tech - Tech'!G$12,IF($F19="SSV",'Fleet Tech - Tech'!G$14,"nil"))))))))))))))),0)</f>
        <v>0</v>
      </c>
      <c r="BA19" s="12">
        <f>IF($H19=3,IF(OR($F19="DDV",$F19="DDG",$F19="DD"),'Fleet Tech - Tech'!H$3,IF($F19="CL",'Fleet Tech - Tech'!H$4,IF($F19="CA",'Fleet Tech - Tech'!H$5,IF($F19="BC",'Fleet Tech - Tech'!H$6,IF($F19="BB",'Fleet Tech - Tech'!H$7,IF($F19="CVL",'Fleet Tech - Tech'!H$8,IF($F19="CV",'Fleet Tech - Tech'!H$9,IF($F19="SS",'Fleet Tech - Tech'!H$10,IF($F19="BBV",'Fleet Tech - Tech'!H$11,IF($F19="CB",'Fleet Tech - Tech'!H$15,IF($F19="AE",'Fleet Tech - Tech'!H$16,IF($F19="IX",'Fleet Tech - Tech'!H$17,IF($F19="BM",'Fleet Tech - Tech'!H$13,IF($F19="AR",'Fleet Tech - Tech'!H$12,IF($F19="SSV",'Fleet Tech - Tech'!H$14,"nil"))))))))))))))),0)</f>
        <v>0</v>
      </c>
      <c r="BB19" s="12">
        <f>IF($H19=3,IF(OR($F19="DDV",$F19="DDG",$F19="DD"),'Fleet Tech - Tech'!I$3,IF($F19="CL",'Fleet Tech - Tech'!I$4,IF($F19="CA",'Fleet Tech - Tech'!I$5,IF($F19="BC",'Fleet Tech - Tech'!I$6,IF($F19="BB",'Fleet Tech - Tech'!I$7,IF($F19="CVL",'Fleet Tech - Tech'!I$8,IF($F19="CV",'Fleet Tech - Tech'!I$9,IF($F19="SS",'Fleet Tech - Tech'!I$10,IF($F19="BBV",'Fleet Tech - Tech'!I$11,IF($F19="CB",'Fleet Tech - Tech'!I$15,IF($F19="AE",'Fleet Tech - Tech'!I$16,IF($F19="IX",'Fleet Tech - Tech'!I$17,IF($F19="BM",'Fleet Tech - Tech'!I$13,IF($F19="AR",'Fleet Tech - Tech'!I$12,IF($F19="SSV",'Fleet Tech - Tech'!I$14,"nil"))))))))))))))),0)</f>
        <v>0</v>
      </c>
      <c r="BC19" s="12">
        <f>IF($H19=3,IF(OR($F19="DDV",$F19="DDG",$F19="DD"),'Fleet Tech - Tech'!J$3,IF($F19="CL",'Fleet Tech - Tech'!J$4,IF($F19="CA",'Fleet Tech - Tech'!J$5,IF($F19="BC",'Fleet Tech - Tech'!J$6,IF($F19="BB",'Fleet Tech - Tech'!J$7,IF($F19="CVL",'Fleet Tech - Tech'!J$8,IF($F19="CV",'Fleet Tech - Tech'!J$9,IF($F19="SS",'Fleet Tech - Tech'!J$10,IF($F19="BBV",'Fleet Tech - Tech'!J$11,IF($F19="CB",'Fleet Tech - Tech'!J$15,IF($F19="AE",'Fleet Tech - Tech'!J$16,IF($F19="IX",'Fleet Tech - Tech'!J$17,IF($F19="BM",'Fleet Tech - Tech'!J$13,IF($F19="AR",'Fleet Tech - Tech'!J$12,IF($F19="SSV",'Fleet Tech - Tech'!J$14,"nil"))))))))))))))),0)</f>
        <v>0</v>
      </c>
      <c r="BD19" s="12">
        <f>IF($H19=3,IF(OR($F19="DDV",$F19="DDG",$F19="DD"),'Fleet Tech - Tech'!K$3,IF($F19="CL",'Fleet Tech - Tech'!K$4,IF($F19="CA",'Fleet Tech - Tech'!K$5,IF($F19="BC",'Fleet Tech - Tech'!K$6,IF($F19="BB",'Fleet Tech - Tech'!K$7,IF($F19="CVL",'Fleet Tech - Tech'!K$8,IF($F19="CV",'Fleet Tech - Tech'!K$9,IF($F19="SS",'Fleet Tech - Tech'!K$10,IF($F19="BBV",'Fleet Tech - Tech'!K$11,IF($F19="CB",'Fleet Tech - Tech'!K$15,IF($F19="AE",'Fleet Tech - Tech'!K$16,IF($F19="IX",'Fleet Tech - Tech'!K$17,IF($F19="BM",'Fleet Tech - Tech'!K$13,IF($F19="AR",'Fleet Tech - Tech'!K$12,IF($F19="SSV",'Fleet Tech - Tech'!K$14,"nil"))))))))))))))),0)</f>
        <v>0</v>
      </c>
      <c r="BE19" s="12">
        <f>IF($H19=3,IF(OR($F19="DDV",$F19="DDG",$F19="DD"),'Fleet Tech - Tech'!L$3,IF($F19="CL",'Fleet Tech - Tech'!L$4,IF($F19="CA",'Fleet Tech - Tech'!L$5,IF($F19="BC",'Fleet Tech - Tech'!L$6,IF($F19="BB",'Fleet Tech - Tech'!L$7,IF($F19="CVL",'Fleet Tech - Tech'!L$8,IF($F19="CV",'Fleet Tech - Tech'!L$9,IF($F19="SS",'Fleet Tech - Tech'!L$10,IF($F19="BBV",'Fleet Tech - Tech'!L$11,IF($F19="CB",'Fleet Tech - Tech'!L$15,IF($F19="AE",'Fleet Tech - Tech'!L$16,IF($F19="IX",'Fleet Tech - Tech'!L$17,IF($F19="BM",'Fleet Tech - Tech'!L$13,IF($F19="AR",'Fleet Tech - Tech'!L$12,IF($F19="SSV",'Fleet Tech - Tech'!L$14,"nil"))))))))))))))),0)</f>
        <v>0</v>
      </c>
      <c r="BF19" s="12">
        <f>IF($H19=3,IF(OR($F19="DDV",$F19="DDG",$F19="DD"),'Fleet Tech - Tech'!M$3,IF($F19="CL",'Fleet Tech - Tech'!M$4,IF($F19="CA",'Fleet Tech - Tech'!M$5,IF($F19="BC",'Fleet Tech - Tech'!M$6,IF($F19="BB",'Fleet Tech - Tech'!M$7,IF($F19="CVL",'Fleet Tech - Tech'!M$8,IF($F19="CV",'Fleet Tech - Tech'!M$9,IF($F19="SS",'Fleet Tech - Tech'!M$10,IF($F19="BBV",'Fleet Tech - Tech'!M$11,IF($F19="CB",'Fleet Tech - Tech'!M$15,IF($F19="AE",'Fleet Tech - Tech'!M$16,IF($F19="IX",'Fleet Tech - Tech'!M$17,IF($F19="BM",'Fleet Tech - Tech'!M$13,IF($F19="AR",'Fleet Tech - Tech'!M$12,IF($F19="SSV",'Fleet Tech - Tech'!M$14,"nil"))))))))))))))),0)</f>
        <v>0</v>
      </c>
      <c r="BG19" s="12">
        <f>IF($H19=3,IF(OR($F19="DDV",$F19="DDG",$F19="DD"),'Fleet Tech - Tech'!N$3,IF($F19="CL",'Fleet Tech - Tech'!N$4,IF($F19="CA",'Fleet Tech - Tech'!N$5,IF($F19="BC",'Fleet Tech - Tech'!N$6,IF($F19="BB",'Fleet Tech - Tech'!N$7,IF($F19="CVL",'Fleet Tech - Tech'!N$8,IF($F19="CV",'Fleet Tech - Tech'!N$9,IF($F19="SS",'Fleet Tech - Tech'!N$10,IF($F19="BBV",'Fleet Tech - Tech'!N$11,IF($F19="CB",'Fleet Tech - Tech'!N$15,IF($F19="AE",'Fleet Tech - Tech'!N$16,IF($F19="IX",'Fleet Tech - Tech'!N$17,IF($F19="BM",'Fleet Tech - Tech'!N$13,IF($F19="AR",'Fleet Tech - Tech'!N$12,IF($F19="SSV",'Fleet Tech - Tech'!N$14,"nil"))))))))))))))),0)</f>
        <v>0</v>
      </c>
      <c r="BH19" s="28"/>
      <c r="BI19" s="12">
        <v>1570</v>
      </c>
      <c r="BJ19" s="12">
        <v>70</v>
      </c>
      <c r="BK19" s="12">
        <v>65</v>
      </c>
      <c r="BL19" s="28"/>
      <c r="BM19" s="12">
        <v>50</v>
      </c>
      <c r="BN19" s="12">
        <v>60</v>
      </c>
      <c r="BO19" s="28"/>
      <c r="BP19" s="28"/>
      <c r="BQ19" s="12">
        <v>26</v>
      </c>
      <c r="BR19" s="12">
        <v>4</v>
      </c>
      <c r="BS19" s="12">
        <v>76</v>
      </c>
      <c r="BT19" s="12">
        <v>20</v>
      </c>
      <c r="BU19" s="12">
        <v>60</v>
      </c>
      <c r="BV19" s="12">
        <v>335</v>
      </c>
      <c r="BW19" s="28"/>
      <c r="BX19" s="12">
        <v>4</v>
      </c>
      <c r="BY19" s="12">
        <v>3</v>
      </c>
      <c r="BZ19" s="12">
        <v>4</v>
      </c>
      <c r="CA19" s="12">
        <v>0</v>
      </c>
      <c r="CB19" s="12">
        <v>4</v>
      </c>
      <c r="CC19" s="12">
        <v>10</v>
      </c>
      <c r="CD19" s="12">
        <v>3</v>
      </c>
      <c r="CE19" s="12">
        <v>6</v>
      </c>
      <c r="CF19" s="12">
        <v>3</v>
      </c>
      <c r="CG19" s="12">
        <v>4</v>
      </c>
      <c r="CH19" s="12">
        <v>-1</v>
      </c>
      <c r="CI19" s="12">
        <v>-1</v>
      </c>
      <c r="CJ19" s="47"/>
      <c r="CK19" s="48">
        <f>IF(BX19=5,320,IF(BX19=4,195,IF(BX19=3,132,IF(BX19=2,90,IF(BX19=1,58,IF(BX19=-1,0,35))))))</f>
        <v>195</v>
      </c>
      <c r="CL19" s="48">
        <f>IF(BX19=5,20,IF(BX19=4,15,IF(BX19=3,12,IF(BX19=2,10,IF(BX19=1,8,IF(BX19=-1,0,5))))))</f>
        <v>15</v>
      </c>
      <c r="CM19" s="48">
        <f>IF(BZ19=5,320,IF(BZ19=4,195,IF(BZ19=3,132,IF(BZ19=2,90,IF(BZ19=1,58,IF(BZ19=-1,0,35))))))</f>
        <v>195</v>
      </c>
      <c r="CN19" s="48">
        <f>IF(BZ19=5,20,IF(BZ19=4,15,IF(BZ19=3,12,IF(BZ19=2,10,IF(BZ19=1,8,IF(BZ19=-1,0,5))))))</f>
        <v>15</v>
      </c>
      <c r="CO19" s="48">
        <f>IF(CB19=5,320,IF(CB19=4,195,IF(CB19=3,132,IF(CB19=2,90,IF(CB19=1,58,IF(CB19=-1,0,35))))))</f>
        <v>195</v>
      </c>
      <c r="CP19" s="48">
        <f>IF(CB19=5,20,IF(CB19=4,15,IF(CB19=3,12,IF(CB19=2,10,IF(CB19=1,8,IF(CB19=-1,0,5))))))</f>
        <v>15</v>
      </c>
      <c r="CQ19" s="48">
        <f>IF(CD19=5,320,IF(CD19=4,195,IF(CD19=3,132,IF(CD19=2,90,IF(CD19=1,58,IF(CD19=-1,0,35))))))</f>
        <v>132</v>
      </c>
      <c r="CR19" s="48">
        <f>IF(CD19=5,20,IF(CD19=4,15,IF(CD19=3,12,IF(CD19=2,10,IF(CD19=1,8,IF(CD19=-1,0,5))))))</f>
        <v>12</v>
      </c>
      <c r="CS19" s="48">
        <f>IF(CF19=5,320,IF(CF19=4,195,IF(CF19=3,132,IF(CF19=2,90,IF(CF19=1,58,IF(CF19=-1,0,35))))))</f>
        <v>132</v>
      </c>
      <c r="CT19" s="48">
        <f>IF(CF19=5,20,IF(CF19=4,15,IF(CF19=3,12,IF(CF19=2,10,IF(CF19=1,8,IF(CF19=-1,0,5))))))</f>
        <v>12</v>
      </c>
      <c r="CU19" s="48">
        <f>IF(CH19=5,320,IF(CH19=4,195,IF(CH19=3,132,IF(CH19=2,90,IF(CH19=1,58,IF(CH19=-1,0,35))))))</f>
        <v>0</v>
      </c>
      <c r="CV19" s="48">
        <f>IF(CH19=5,20,IF(CH19=4,15,IF(CH19=3,12,IF(CH19=2,10,IF(CH19=1,8,IF(CH19=-1,0,5))))))</f>
        <v>0</v>
      </c>
      <c r="CW19" s="48">
        <f>IF(BY19&gt;10,(BY19/10)-ROUNDDOWN(BY19/10,0),0)+IF(CA19&gt;10,(CA19/10)-ROUNDDOWN(CA19/10,0),0)+IF(CC19&gt;10,(CC19/10)-ROUNDDOWN(CC19/10,0),0)+IF(CE19&gt;10,(CE19/10)-ROUNDDOWN(CE19/10,0),0)+IF(CG19&gt;10,(CG19/10)-ROUNDDOWN(CG19/10,0),0)+IF(CI19&gt;10,(CI19/10)-ROUNDDOWN(CI19/10,0),0)</f>
        <v>0</v>
      </c>
      <c r="CX19" s="48">
        <f>1+(CW19/10)</f>
        <v>1</v>
      </c>
    </row>
    <row r="20" ht="20.05" customHeight="1">
      <c r="A20" t="s" s="43">
        <v>286</v>
      </c>
      <c r="B20" t="s" s="44">
        <v>287</v>
      </c>
      <c r="C20" t="s" s="45">
        <v>73</v>
      </c>
      <c r="D20" s="13">
        <v>3</v>
      </c>
      <c r="E20" t="s" s="15">
        <v>240</v>
      </c>
      <c r="F20" t="s" s="15">
        <v>241</v>
      </c>
      <c r="G20" t="s" s="15">
        <v>234</v>
      </c>
      <c r="H20" s="12">
        <v>3</v>
      </c>
      <c r="I20" t="s" s="15">
        <v>263</v>
      </c>
      <c r="J20" s="12">
        <v>125</v>
      </c>
      <c r="K20" t="s" s="14">
        <v>264</v>
      </c>
      <c r="L20" t="s" s="15">
        <v>237</v>
      </c>
      <c r="M20" t="s" s="15">
        <v>19</v>
      </c>
      <c r="N20" s="46">
        <f>ROUND((SUM(AA20,T20:Y20,AC20:AE20,Z20*10)-AB20*15)*(IF(K20="Heavy",0.15,IF(K20="Medium",0,IF(K20="Light",-0.15,10)))+1),0)</f>
        <v>1489</v>
      </c>
      <c r="O20" s="46">
        <v>5207</v>
      </c>
      <c r="P20" s="46">
        <f>ROUNDDOWN((BI20+AU20+AG20)/5,0)+(BJ20+AV20+AH20)+(BN20+AZ20+AL20)+(BO20+BA20+AM20)+(BK20+AW20+AI20)+(BS20+BE20+AQ20)+(BL20+AX20+AJ20)+(BQ20+BC20+AO20)+(2*((BT20+BF20+AR20)+(BU20+BG20+AS20)))+(CK20+CM20+CO20+CQ20+CS20+CU20)+(CL20*BY20)+(CN20*CA20)+(CP20+CC20)+(CR20+CE20)+(CT20+CG20)+(CV20+CI20)+BV20</f>
        <v>5363</v>
      </c>
      <c r="Q20" s="46">
        <f>ROUNDDOWN(((S20/5)+T20+X20+Y20+U20+AC20+V20+AA20+(2*(AD20+AE20))+CK20+CM20+CO20+CQ20+CS20+CU20+(CL20*BX20)+(CN20*BZ20)+(CP20*CB20)+(CR20*CD20)+(CT20*CF20)+(CV20*CH20))*CX20,0)</f>
        <v>4970</v>
      </c>
      <c r="R20" s="46">
        <f>ROUNDDOWN(AVERAGE(P20:Q20),0)</f>
        <v>5166</v>
      </c>
      <c r="S20" s="12">
        <f>AG20+AU20+BI20</f>
        <v>9497</v>
      </c>
      <c r="T20" s="12">
        <f>AH20+AV20+BJ20</f>
        <v>0</v>
      </c>
      <c r="U20" s="12">
        <f>AI20+AW20+BK20</f>
        <v>360</v>
      </c>
      <c r="V20" s="12">
        <f>AJ20+AX20+BL20</f>
        <v>0</v>
      </c>
      <c r="W20" s="12">
        <f>AK20+AY20+BM20</f>
        <v>32</v>
      </c>
      <c r="X20" s="12">
        <f>AL20+AZ20+BN20</f>
        <v>0</v>
      </c>
      <c r="Y20" s="12">
        <f>AM20+BA20+BO20</f>
        <v>821</v>
      </c>
      <c r="Z20" s="12">
        <f>AN20+BB20+BP20</f>
        <v>0</v>
      </c>
      <c r="AA20" s="12">
        <f>AO20+BC20+BQ20</f>
        <v>28</v>
      </c>
      <c r="AB20" s="12">
        <f>AP20+BD20+BR20</f>
        <v>15</v>
      </c>
      <c r="AC20" s="12">
        <f>AQ20+BE20+BS20</f>
        <v>139</v>
      </c>
      <c r="AD20" s="12">
        <f>AR20+BF20+BT20</f>
        <v>53</v>
      </c>
      <c r="AE20" s="12">
        <f>AS20+BG20+BU20</f>
        <v>87</v>
      </c>
      <c r="AF20" s="28"/>
      <c r="AG20" s="12">
        <v>135</v>
      </c>
      <c r="AH20" s="12">
        <v>0</v>
      </c>
      <c r="AI20" s="12">
        <v>18</v>
      </c>
      <c r="AJ20" s="12">
        <v>0</v>
      </c>
      <c r="AK20" s="12">
        <v>0</v>
      </c>
      <c r="AL20" s="12">
        <v>0</v>
      </c>
      <c r="AM20" s="12">
        <v>343</v>
      </c>
      <c r="AN20" s="12">
        <v>0</v>
      </c>
      <c r="AO20" s="12">
        <v>0</v>
      </c>
      <c r="AP20" s="12">
        <v>0</v>
      </c>
      <c r="AQ20" s="12">
        <v>0</v>
      </c>
      <c r="AR20" s="12">
        <v>0</v>
      </c>
      <c r="AS20" s="12">
        <v>0</v>
      </c>
      <c r="AT20" s="28"/>
      <c r="AU20" s="12">
        <f>IF($H20=3,IF(OR($F20="DDV",$F20="DDG",$F20="DD"),'Fleet Tech - Tech'!B$3,IF($F20="CL",'Fleet Tech - Tech'!B$4,IF($F20="CA",'Fleet Tech - Tech'!B$5,IF($F20="BC",'Fleet Tech - Tech'!B$6,IF($F20="BB",'Fleet Tech - Tech'!B$7,IF($F20="CVL",'Fleet Tech - Tech'!B$8,IF($F20="CV",'Fleet Tech - Tech'!B$9,IF($F20="SS",'Fleet Tech - Tech'!B$10,IF($F20="BBV",'Fleet Tech - Tech'!B$11,IF($F20="CB",'Fleet Tech - Tech'!B$15,IF($F20="AE",'Fleet Tech - Tech'!B$16,IF($F20="IX",'Fleet Tech - Tech'!B$17,IF($F20="BM",'Fleet Tech - Tech'!B$13,IF($F20="AR",'Fleet Tech - Tech'!B$12,IF($F20="SSV",'Fleet Tech - Tech'!B$14,"nil"))))))))))))))),0)</f>
        <v>45</v>
      </c>
      <c r="AV20" s="12">
        <f>IF($H20=3,IF(OR($F20="DDV",$F20="DDG",$F20="DD"),'Fleet Tech - Tech'!C$3,IF($F20="CL",'Fleet Tech - Tech'!C$4,IF($F20="CA",'Fleet Tech - Tech'!C$5,IF($F20="BC",'Fleet Tech - Tech'!C$6,IF($F20="BB",'Fleet Tech - Tech'!C$7,IF($F20="CVL",'Fleet Tech - Tech'!C$8,IF($F20="CV",'Fleet Tech - Tech'!C$9,IF($F20="SS",'Fleet Tech - Tech'!C$10,IF($F20="BBV",'Fleet Tech - Tech'!C$11,IF($F20="CB",'Fleet Tech - Tech'!C$15,IF($F20="AE",'Fleet Tech - Tech'!C$16,IF($F20="IX",'Fleet Tech - Tech'!C$17,IF($F20="BM",'Fleet Tech - Tech'!C$13,IF($F20="AR",'Fleet Tech - Tech'!C$12,IF($F20="SSV",'Fleet Tech - Tech'!C$14,"nil"))))))))))))))),0)</f>
        <v>0</v>
      </c>
      <c r="AW20" s="12">
        <f>IF($H20=3,IF(OR($F20="DDV",$F20="DDG",$F20="DD"),'Fleet Tech - Tech'!D$3,IF($F20="CL",'Fleet Tech - Tech'!D$4,IF($F20="CA",'Fleet Tech - Tech'!D$5,IF($F20="BC",'Fleet Tech - Tech'!D$6,IF($F20="BB",'Fleet Tech - Tech'!D$7,IF($F20="CVL",'Fleet Tech - Tech'!D$8,IF($F20="CV",'Fleet Tech - Tech'!D$9,IF($F20="SS",'Fleet Tech - Tech'!D$10,IF($F20="BBV",'Fleet Tech - Tech'!D$11,IF($F20="CB",'Fleet Tech - Tech'!D$15,IF($F20="AE",'Fleet Tech - Tech'!D$16,IF($F20="IX",'Fleet Tech - Tech'!D$17,IF($F20="BM",'Fleet Tech - Tech'!D$13,IF($F20="AR",'Fleet Tech - Tech'!D$12,IF($F20="SSV",'Fleet Tech - Tech'!D$14,"nil"))))))))))))))),0)</f>
        <v>0</v>
      </c>
      <c r="AX20" s="12">
        <f>IF($H20=3,IF(OR($F20="DDV",$F20="DDG",$F20="DD"),'Fleet Tech - Tech'!E$3,IF($F20="CL",'Fleet Tech - Tech'!E$4,IF($F20="CA",'Fleet Tech - Tech'!E$5,IF($F20="BC",'Fleet Tech - Tech'!E$6,IF($F20="BB",'Fleet Tech - Tech'!E$7,IF($F20="CVL",'Fleet Tech - Tech'!E$8,IF($F20="CV",'Fleet Tech - Tech'!E$9,IF($F20="SS",'Fleet Tech - Tech'!E$10,IF($F20="BBV",'Fleet Tech - Tech'!E$11,IF($F20="CB",'Fleet Tech - Tech'!E$15,IF($F20="AE",'Fleet Tech - Tech'!E$16,IF($F20="IX",'Fleet Tech - Tech'!E$17,IF($F20="BM",'Fleet Tech - Tech'!E$13,IF($F20="AR",'Fleet Tech - Tech'!E$12,IF($F20="SSV",'Fleet Tech - Tech'!E$14,"nil"))))))))))))))),0)</f>
        <v>0</v>
      </c>
      <c r="AY20" s="12">
        <f>IF($H20=3,IF(OR($F20="DDV",$F20="DDG",$F20="DD"),'Fleet Tech - Tech'!F$3,IF($F20="CL",'Fleet Tech - Tech'!F$4,IF($F20="CA",'Fleet Tech - Tech'!F$5,IF($F20="BC",'Fleet Tech - Tech'!F$6,IF($F20="BB",'Fleet Tech - Tech'!F$7,IF($F20="CVL",'Fleet Tech - Tech'!F$8,IF($F20="CV",'Fleet Tech - Tech'!F$9,IF($F20="SS",'Fleet Tech - Tech'!F$10,IF($F20="BBV",'Fleet Tech - Tech'!F$11,IF($F20="CB",'Fleet Tech - Tech'!F$15,IF($F20="AE",'Fleet Tech - Tech'!F$16,IF($F20="IX",'Fleet Tech - Tech'!F$17,IF($F20="BM",'Fleet Tech - Tech'!F$13,IF($F20="AR",'Fleet Tech - Tech'!F$12,IF($F20="SSV",'Fleet Tech - Tech'!F$14,"nil"))))))))))))))),0)</f>
        <v>0</v>
      </c>
      <c r="AZ20" s="12">
        <f>IF($H20=3,IF(OR($F20="DDV",$F20="DDG",$F20="DD"),'Fleet Tech - Tech'!G$3,IF($F20="CL",'Fleet Tech - Tech'!G$4,IF($F20="CA",'Fleet Tech - Tech'!G$5,IF($F20="BC",'Fleet Tech - Tech'!G$6,IF($F20="BB",'Fleet Tech - Tech'!G$7,IF($F20="CVL",'Fleet Tech - Tech'!G$8,IF($F20="CV",'Fleet Tech - Tech'!G$9,IF($F20="SS",'Fleet Tech - Tech'!G$10,IF($F20="BBV",'Fleet Tech - Tech'!G$11,IF($F20="CB",'Fleet Tech - Tech'!G$15,IF($F20="AE",'Fleet Tech - Tech'!G$16,IF($F20="IX",'Fleet Tech - Tech'!G$17,IF($F20="BM",'Fleet Tech - Tech'!G$13,IF($F20="AR",'Fleet Tech - Tech'!G$12,IF($F20="SSV",'Fleet Tech - Tech'!G$14,"nil"))))))))))))))),0)</f>
        <v>0</v>
      </c>
      <c r="BA20" s="12">
        <f>IF($H20=3,IF(OR($F20="DDV",$F20="DDG",$F20="DD"),'Fleet Tech - Tech'!H$3,IF($F20="CL",'Fleet Tech - Tech'!H$4,IF($F20="CA",'Fleet Tech - Tech'!H$5,IF($F20="BC",'Fleet Tech - Tech'!H$6,IF($F20="BB",'Fleet Tech - Tech'!H$7,IF($F20="CVL",'Fleet Tech - Tech'!H$8,IF($F20="CV",'Fleet Tech - Tech'!H$9,IF($F20="SS",'Fleet Tech - Tech'!H$10,IF($F20="BBV",'Fleet Tech - Tech'!H$11,IF($F20="CB",'Fleet Tech - Tech'!H$15,IF($F20="AE",'Fleet Tech - Tech'!H$16,IF($F20="IX",'Fleet Tech - Tech'!H$17,IF($F20="BM",'Fleet Tech - Tech'!H$13,IF($F20="AR",'Fleet Tech - Tech'!H$12,IF($F20="SSV",'Fleet Tech - Tech'!H$14,"nil"))))))))))))))),0)</f>
        <v>10</v>
      </c>
      <c r="BB20" s="12">
        <f>IF($H20=3,IF(OR($F20="DDV",$F20="DDG",$F20="DD"),'Fleet Tech - Tech'!I$3,IF($F20="CL",'Fleet Tech - Tech'!I$4,IF($F20="CA",'Fleet Tech - Tech'!I$5,IF($F20="BC",'Fleet Tech - Tech'!I$6,IF($F20="BB",'Fleet Tech - Tech'!I$7,IF($F20="CVL",'Fleet Tech - Tech'!I$8,IF($F20="CV",'Fleet Tech - Tech'!I$9,IF($F20="SS",'Fleet Tech - Tech'!I$10,IF($F20="BBV",'Fleet Tech - Tech'!I$11,IF($F20="CB",'Fleet Tech - Tech'!I$15,IF($F20="AE",'Fleet Tech - Tech'!I$16,IF($F20="IX",'Fleet Tech - Tech'!I$17,IF($F20="BM",'Fleet Tech - Tech'!I$13,IF($F20="AR",'Fleet Tech - Tech'!I$12,IF($F20="SSV",'Fleet Tech - Tech'!I$14,"nil"))))))))))))))),0)</f>
        <v>0</v>
      </c>
      <c r="BC20" s="12">
        <f>IF($H20=3,IF(OR($F20="DDV",$F20="DDG",$F20="DD"),'Fleet Tech - Tech'!J$3,IF($F20="CL",'Fleet Tech - Tech'!J$4,IF($F20="CA",'Fleet Tech - Tech'!J$5,IF($F20="BC",'Fleet Tech - Tech'!J$6,IF($F20="BB",'Fleet Tech - Tech'!J$7,IF($F20="CVL",'Fleet Tech - Tech'!J$8,IF($F20="CV",'Fleet Tech - Tech'!J$9,IF($F20="SS",'Fleet Tech - Tech'!J$10,IF($F20="BBV",'Fleet Tech - Tech'!J$11,IF($F20="CB",'Fleet Tech - Tech'!J$15,IF($F20="AE",'Fleet Tech - Tech'!J$16,IF($F20="IX",'Fleet Tech - Tech'!J$17,IF($F20="BM",'Fleet Tech - Tech'!J$13,IF($F20="AR",'Fleet Tech - Tech'!J$12,IF($F20="SSV",'Fleet Tech - Tech'!J$14,"nil"))))))))))))))),0)</f>
        <v>0</v>
      </c>
      <c r="BD20" s="12">
        <f>IF($H20=3,IF(OR($F20="DDV",$F20="DDG",$F20="DD"),'Fleet Tech - Tech'!K$3,IF($F20="CL",'Fleet Tech - Tech'!K$4,IF($F20="CA",'Fleet Tech - Tech'!K$5,IF($F20="BC",'Fleet Tech - Tech'!K$6,IF($F20="BB",'Fleet Tech - Tech'!K$7,IF($F20="CVL",'Fleet Tech - Tech'!K$8,IF($F20="CV",'Fleet Tech - Tech'!K$9,IF($F20="SS",'Fleet Tech - Tech'!K$10,IF($F20="BBV",'Fleet Tech - Tech'!K$11,IF($F20="CB",'Fleet Tech - Tech'!K$15,IF($F20="AE",'Fleet Tech - Tech'!K$16,IF($F20="IX",'Fleet Tech - Tech'!K$17,IF($F20="BM",'Fleet Tech - Tech'!K$13,IF($F20="AR",'Fleet Tech - Tech'!K$12,IF($F20="SSV",'Fleet Tech - Tech'!K$14,"nil"))))))))))))))),0)</f>
        <v>0</v>
      </c>
      <c r="BE20" s="12">
        <f>IF($H20=3,IF(OR($F20="DDV",$F20="DDG",$F20="DD"),'Fleet Tech - Tech'!L$3,IF($F20="CL",'Fleet Tech - Tech'!L$4,IF($F20="CA",'Fleet Tech - Tech'!L$5,IF($F20="BC",'Fleet Tech - Tech'!L$6,IF($F20="BB",'Fleet Tech - Tech'!L$7,IF($F20="CVL",'Fleet Tech - Tech'!L$8,IF($F20="CV",'Fleet Tech - Tech'!L$9,IF($F20="SS",'Fleet Tech - Tech'!L$10,IF($F20="BBV",'Fleet Tech - Tech'!L$11,IF($F20="CB",'Fleet Tech - Tech'!L$15,IF($F20="AE",'Fleet Tech - Tech'!L$16,IF($F20="IX",'Fleet Tech - Tech'!L$17,IF($F20="BM",'Fleet Tech - Tech'!L$13,IF($F20="AR",'Fleet Tech - Tech'!L$12,IF($F20="SSV",'Fleet Tech - Tech'!L$14,"nil"))))))))))))))),0)</f>
        <v>4</v>
      </c>
      <c r="BF20" s="12">
        <f>IF($H20=3,IF(OR($F20="DDV",$F20="DDG",$F20="DD"),'Fleet Tech - Tech'!M$3,IF($F20="CL",'Fleet Tech - Tech'!M$4,IF($F20="CA",'Fleet Tech - Tech'!M$5,IF($F20="BC",'Fleet Tech - Tech'!M$6,IF($F20="BB",'Fleet Tech - Tech'!M$7,IF($F20="CVL",'Fleet Tech - Tech'!M$8,IF($F20="CV",'Fleet Tech - Tech'!M$9,IF($F20="SS",'Fleet Tech - Tech'!M$10,IF($F20="BBV",'Fleet Tech - Tech'!M$11,IF($F20="CB",'Fleet Tech - Tech'!M$15,IF($F20="AE",'Fleet Tech - Tech'!M$16,IF($F20="IX",'Fleet Tech - Tech'!M$17,IF($F20="BM",'Fleet Tech - Tech'!M$13,IF($F20="AR",'Fleet Tech - Tech'!M$12,IF($F20="SSV",'Fleet Tech - Tech'!M$14,"nil"))))))))))))))),0)</f>
        <v>0</v>
      </c>
      <c r="BG20" s="12">
        <f>IF($H20=3,IF(OR($F20="DDV",$F20="DDG",$F20="DD"),'Fleet Tech - Tech'!N$3,IF($F20="CL",'Fleet Tech - Tech'!N$4,IF($F20="CA",'Fleet Tech - Tech'!N$5,IF($F20="BC",'Fleet Tech - Tech'!N$6,IF($F20="BB",'Fleet Tech - Tech'!N$7,IF($F20="CVL",'Fleet Tech - Tech'!N$8,IF($F20="CV",'Fleet Tech - Tech'!N$9,IF($F20="SS",'Fleet Tech - Tech'!N$10,IF($F20="BBV",'Fleet Tech - Tech'!N$11,IF($F20="CB",'Fleet Tech - Tech'!N$15,IF($F20="AE",'Fleet Tech - Tech'!N$16,IF($F20="IX",'Fleet Tech - Tech'!N$17,IF($F20="BM",'Fleet Tech - Tech'!N$13,IF($F20="AR",'Fleet Tech - Tech'!N$12,IF($F20="SSV",'Fleet Tech - Tech'!N$14,"nil"))))))))))))))),0)</f>
        <v>2</v>
      </c>
      <c r="BH20" s="28"/>
      <c r="BI20" s="12">
        <v>9317</v>
      </c>
      <c r="BJ20" s="12">
        <v>0</v>
      </c>
      <c r="BK20" s="12">
        <v>342</v>
      </c>
      <c r="BL20" s="12">
        <v>0</v>
      </c>
      <c r="BM20" s="12">
        <v>32</v>
      </c>
      <c r="BN20" s="12">
        <v>0</v>
      </c>
      <c r="BO20" s="12">
        <v>468</v>
      </c>
      <c r="BP20" s="12">
        <v>0</v>
      </c>
      <c r="BQ20" s="12">
        <v>28</v>
      </c>
      <c r="BR20" s="12">
        <v>15</v>
      </c>
      <c r="BS20" s="12">
        <v>135</v>
      </c>
      <c r="BT20" s="12">
        <v>53</v>
      </c>
      <c r="BU20" s="12">
        <v>85</v>
      </c>
      <c r="BV20" s="12">
        <v>335</v>
      </c>
      <c r="BW20" s="28"/>
      <c r="BX20" s="12">
        <v>4</v>
      </c>
      <c r="BY20" s="12">
        <v>10</v>
      </c>
      <c r="BZ20" s="12">
        <v>4</v>
      </c>
      <c r="CA20" s="12">
        <v>10</v>
      </c>
      <c r="CB20" s="12">
        <v>4</v>
      </c>
      <c r="CC20" s="12">
        <v>10</v>
      </c>
      <c r="CD20" s="12">
        <v>4</v>
      </c>
      <c r="CE20" s="12">
        <v>10</v>
      </c>
      <c r="CF20" s="12">
        <v>4</v>
      </c>
      <c r="CG20" s="12">
        <v>7</v>
      </c>
      <c r="CH20" s="12">
        <v>3</v>
      </c>
      <c r="CI20" s="12">
        <v>10</v>
      </c>
      <c r="CJ20" s="47"/>
      <c r="CK20" s="48">
        <f>IF(BX20=5,320,IF(BX20=4,195,IF(BX20=3,132,IF(BX20=2,90,IF(BX20=1,58,IF(BX20=-1,0,35))))))</f>
        <v>195</v>
      </c>
      <c r="CL20" s="48">
        <f>IF(BX20=5,20,IF(BX20=4,15,IF(BX20=3,12,IF(BX20=2,10,IF(BX20=1,8,IF(BX20=-1,0,5))))))</f>
        <v>15</v>
      </c>
      <c r="CM20" s="48">
        <f>IF(BZ20=5,320,IF(BZ20=4,195,IF(BZ20=3,132,IF(BZ20=2,90,IF(BZ20=1,58,IF(BZ20=-1,0,35))))))</f>
        <v>195</v>
      </c>
      <c r="CN20" s="48">
        <f>IF(BZ20=5,20,IF(BZ20=4,15,IF(BZ20=3,12,IF(BZ20=2,10,IF(BZ20=1,8,IF(BZ20=-1,0,5))))))</f>
        <v>15</v>
      </c>
      <c r="CO20" s="48">
        <f>IF(CB20=5,320,IF(CB20=4,195,IF(CB20=3,132,IF(CB20=2,90,IF(CB20=1,58,IF(CB20=-1,0,35))))))</f>
        <v>195</v>
      </c>
      <c r="CP20" s="48">
        <f>IF(CB20=5,20,IF(CB20=4,15,IF(CB20=3,12,IF(CB20=2,10,IF(CB20=1,8,IF(CB20=-1,0,5))))))</f>
        <v>15</v>
      </c>
      <c r="CQ20" s="48">
        <f>IF(CD20=5,320,IF(CD20=4,195,IF(CD20=3,132,IF(CD20=2,90,IF(CD20=1,58,IF(CD20=-1,0,35))))))</f>
        <v>195</v>
      </c>
      <c r="CR20" s="48">
        <f>IF(CD20=5,20,IF(CD20=4,15,IF(CD20=3,12,IF(CD20=2,10,IF(CD20=1,8,IF(CD20=-1,0,5))))))</f>
        <v>15</v>
      </c>
      <c r="CS20" s="48">
        <f>IF(CF20=5,320,IF(CF20=4,195,IF(CF20=3,132,IF(CF20=2,90,IF(CF20=1,58,IF(CF20=-1,0,35))))))</f>
        <v>195</v>
      </c>
      <c r="CT20" s="48">
        <f>IF(CF20=5,20,IF(CF20=4,15,IF(CF20=3,12,IF(CF20=2,10,IF(CF20=1,8,IF(CF20=-1,0,5))))))</f>
        <v>15</v>
      </c>
      <c r="CU20" s="48">
        <f>IF(CH20=5,320,IF(CH20=4,195,IF(CH20=3,132,IF(CH20=2,90,IF(CH20=1,58,IF(CH20=-1,0,35))))))</f>
        <v>132</v>
      </c>
      <c r="CV20" s="48">
        <f>IF(CH20=5,20,IF(CH20=4,15,IF(CH20=3,12,IF(CH20=2,10,IF(CH20=1,8,IF(CH20=-1,0,5))))))</f>
        <v>12</v>
      </c>
      <c r="CW20" s="48">
        <f>IF(BY20&gt;10,(BY20/10)-ROUNDDOWN(BY20/10,0),0)+IF(CA20&gt;10,(CA20/10)-ROUNDDOWN(CA20/10,0),0)+IF(CC20&gt;10,(CC20/10)-ROUNDDOWN(CC20/10,0),0)+IF(CE20&gt;10,(CE20/10)-ROUNDDOWN(CE20/10,0),0)+IF(CG20&gt;10,(CG20/10)-ROUNDDOWN(CG20/10,0),0)+IF(CI20&gt;10,(CI20/10)-ROUNDDOWN(CI20/10,0),0)</f>
        <v>0</v>
      </c>
      <c r="CX20" s="48">
        <f>1+(CW20/10)</f>
        <v>1</v>
      </c>
    </row>
    <row r="21" ht="20.05" customHeight="1">
      <c r="A21" t="s" s="43">
        <v>288</v>
      </c>
      <c r="B21" t="s" s="44">
        <v>289</v>
      </c>
      <c r="C21" t="s" s="45">
        <v>73</v>
      </c>
      <c r="D21" s="13">
        <v>3</v>
      </c>
      <c r="E21" t="s" s="15">
        <v>232</v>
      </c>
      <c r="F21" t="s" s="15">
        <v>284</v>
      </c>
      <c r="G21" t="s" s="15">
        <v>234</v>
      </c>
      <c r="H21" s="12">
        <v>3</v>
      </c>
      <c r="I21" t="s" s="15">
        <v>277</v>
      </c>
      <c r="J21" s="12">
        <v>114</v>
      </c>
      <c r="K21" t="s" s="14">
        <v>236</v>
      </c>
      <c r="L21" t="s" s="15">
        <v>254</v>
      </c>
      <c r="M21" t="s" s="15">
        <v>290</v>
      </c>
      <c r="N21" s="46">
        <f>ROUND((SUM(AA21,T21:Y21,AC21:AE21,Z21*10)-AB21*15)*(IF(K21="Heavy",0.15,IF(K21="Medium",0,IF(K21="Light",-0.15,10)))+1),0)</f>
        <v>1397</v>
      </c>
      <c r="O21" s="46">
        <v>4086</v>
      </c>
      <c r="P21" s="46">
        <f>ROUNDDOWN((BI21+AU21+AG21)/5,0)+(BJ21+AV21+AH21)+(BN21+AZ21+AL21)+(BO21+BA21+AM21)+(BK21+AW21+AI21)+(BS21+BE21+AQ21)+(BL21+AX21+AJ21)+(BQ21+BC21+AO21)+(2*((BT21+BF21+AR21)+(BU21+BG21+AS21)))+(CK21+CM21+CO21+CQ21+CS21+CU21)+(CL21*BY21)+(CN21*CA21)+(CP21+CC21)+(CR21+CE21)+(CT21+CG21)+(CV21+CI21)+BV21</f>
        <v>4316</v>
      </c>
      <c r="Q21" s="46">
        <f>ROUNDDOWN(((S21/5)+T21+X21+Y21+U21+AC21+V21+AA21+(2*(AD21+AE21))+CK21+CM21+CO21+CQ21+CS21+CU21+(CL21*BX21)+(CN21*BZ21)+(CP21*CB21)+(CR21*CD21)+(CT21*CF21)+(CV21*CH21))*CX21,0)</f>
        <v>3921</v>
      </c>
      <c r="R21" s="46">
        <f>ROUNDDOWN(AVERAGE(P21:Q21),0)</f>
        <v>4118</v>
      </c>
      <c r="S21" s="12">
        <f>AG21+AU21+BI21</f>
        <v>1926</v>
      </c>
      <c r="T21" s="12">
        <f>AH21+AV21+BJ21</f>
        <v>122</v>
      </c>
      <c r="U21" s="12">
        <f>AI21+AW21+BK21</f>
        <v>221</v>
      </c>
      <c r="V21" s="12">
        <f>AJ21+AX21+BL21</f>
        <v>272</v>
      </c>
      <c r="W21" s="12">
        <f>AK21+AY21+BM21</f>
        <v>71</v>
      </c>
      <c r="X21" s="12">
        <f>AL21+AZ21+BN21</f>
        <v>407</v>
      </c>
      <c r="Y21" s="12">
        <f>AM21+BA21+BO21</f>
        <v>0</v>
      </c>
      <c r="Z21" s="12">
        <f>AN21+BB21+BP21</f>
        <v>0</v>
      </c>
      <c r="AA21" s="12">
        <f>AO21+BC21+BQ21</f>
        <v>45</v>
      </c>
      <c r="AB21" s="12">
        <f>AP21+BD21+BR21</f>
        <v>9</v>
      </c>
      <c r="AC21" s="12">
        <f>AQ21+BE21+BS21</f>
        <v>167</v>
      </c>
      <c r="AD21" s="12">
        <f>AR21+BF21+BT21</f>
        <v>235</v>
      </c>
      <c r="AE21" s="12">
        <f>AS21+BG21+BU21</f>
        <v>238</v>
      </c>
      <c r="AF21" s="28"/>
      <c r="AG21" s="28"/>
      <c r="AH21" s="12">
        <v>41</v>
      </c>
      <c r="AI21" s="12">
        <v>70</v>
      </c>
      <c r="AJ21" s="12">
        <v>69</v>
      </c>
      <c r="AK21" s="12">
        <v>0</v>
      </c>
      <c r="AL21" s="12">
        <v>45</v>
      </c>
      <c r="AM21" s="12">
        <v>0</v>
      </c>
      <c r="AN21" s="12">
        <v>0</v>
      </c>
      <c r="AO21" s="12">
        <v>0</v>
      </c>
      <c r="AP21" s="12">
        <v>0</v>
      </c>
      <c r="AQ21" s="12">
        <v>0</v>
      </c>
      <c r="AR21" s="12">
        <v>13</v>
      </c>
      <c r="AS21" s="12">
        <v>33</v>
      </c>
      <c r="AT21" s="28"/>
      <c r="AU21" s="12">
        <f>IF($H21=3,IF(OR($F21="DDV",$F21="DDG",$F21="DD"),'Fleet Tech - Tech'!B$3,IF($F21="CL",'Fleet Tech - Tech'!B$4,IF($F21="CA",'Fleet Tech - Tech'!B$5,IF($F21="BC",'Fleet Tech - Tech'!B$6,IF($F21="BB",'Fleet Tech - Tech'!B$7,IF($F21="CVL",'Fleet Tech - Tech'!B$8,IF($F21="CV",'Fleet Tech - Tech'!B$9,IF($F21="SS",'Fleet Tech - Tech'!B$10,IF($F21="BBV",'Fleet Tech - Tech'!B$11,IF($F21="CB",'Fleet Tech - Tech'!B$15,IF($F21="AE",'Fleet Tech - Tech'!B$16,IF($F21="IX",'Fleet Tech - Tech'!B$17,IF($F21="BM",'Fleet Tech - Tech'!B$13,IF($F21="AR",'Fleet Tech - Tech'!B$12,IF($F21="SSV",'Fleet Tech - Tech'!B$14,"nil"))))))))))))))),0)</f>
        <v>128</v>
      </c>
      <c r="AV21" s="12">
        <f>IF($H21=3,IF(OR($F21="DDV",$F21="DDG",$F21="DD"),'Fleet Tech - Tech'!C$3,IF($F21="CL",'Fleet Tech - Tech'!C$4,IF($F21="CA",'Fleet Tech - Tech'!C$5,IF($F21="BC",'Fleet Tech - Tech'!C$6,IF($F21="BB",'Fleet Tech - Tech'!C$7,IF($F21="CVL",'Fleet Tech - Tech'!C$8,IF($F21="CV",'Fleet Tech - Tech'!C$9,IF($F21="SS",'Fleet Tech - Tech'!C$10,IF($F21="BBV",'Fleet Tech - Tech'!C$11,IF($F21="CB",'Fleet Tech - Tech'!C$15,IF($F21="AE",'Fleet Tech - Tech'!C$16,IF($F21="IX",'Fleet Tech - Tech'!C$17,IF($F21="BM",'Fleet Tech - Tech'!C$13,IF($F21="AR",'Fleet Tech - Tech'!C$12,IF($F21="SSV",'Fleet Tech - Tech'!C$14,"nil"))))))))))))))),0)</f>
        <v>11</v>
      </c>
      <c r="AW21" s="12">
        <f>IF($H21=3,IF(OR($F21="DDV",$F21="DDG",$F21="DD"),'Fleet Tech - Tech'!D$3,IF($F21="CL",'Fleet Tech - Tech'!D$4,IF($F21="CA",'Fleet Tech - Tech'!D$5,IF($F21="BC",'Fleet Tech - Tech'!D$6,IF($F21="BB",'Fleet Tech - Tech'!D$7,IF($F21="CVL",'Fleet Tech - Tech'!D$8,IF($F21="CV",'Fleet Tech - Tech'!D$9,IF($F21="SS",'Fleet Tech - Tech'!D$10,IF($F21="BBV",'Fleet Tech - Tech'!D$11,IF($F21="CB",'Fleet Tech - Tech'!D$15,IF($F21="AE",'Fleet Tech - Tech'!D$16,IF($F21="IX",'Fleet Tech - Tech'!D$17,IF($F21="BM",'Fleet Tech - Tech'!D$13,IF($F21="AR",'Fleet Tech - Tech'!D$12,IF($F21="SSV",'Fleet Tech - Tech'!D$14,"nil"))))))))))))))),0)</f>
        <v>3</v>
      </c>
      <c r="AX21" s="12">
        <f>IF($H21=3,IF(OR($F21="DDV",$F21="DDG",$F21="DD"),'Fleet Tech - Tech'!E$3,IF($F21="CL",'Fleet Tech - Tech'!E$4,IF($F21="CA",'Fleet Tech - Tech'!E$5,IF($F21="BC",'Fleet Tech - Tech'!E$6,IF($F21="BB",'Fleet Tech - Tech'!E$7,IF($F21="CVL",'Fleet Tech - Tech'!E$8,IF($F21="CV",'Fleet Tech - Tech'!E$9,IF($F21="SS",'Fleet Tech - Tech'!E$10,IF($F21="BBV",'Fleet Tech - Tech'!E$11,IF($F21="CB",'Fleet Tech - Tech'!E$15,IF($F21="AE",'Fleet Tech - Tech'!E$16,IF($F21="IX",'Fleet Tech - Tech'!E$17,IF($F21="BM",'Fleet Tech - Tech'!E$13,IF($F21="AR",'Fleet Tech - Tech'!E$12,IF($F21="SSV",'Fleet Tech - Tech'!E$14,"nil"))))))))))))))),0)</f>
        <v>2</v>
      </c>
      <c r="AY21" s="12">
        <f>IF($H21=3,IF(OR($F21="DDV",$F21="DDG",$F21="DD"),'Fleet Tech - Tech'!F$3,IF($F21="CL",'Fleet Tech - Tech'!F$4,IF($F21="CA",'Fleet Tech - Tech'!F$5,IF($F21="BC",'Fleet Tech - Tech'!F$6,IF($F21="BB",'Fleet Tech - Tech'!F$7,IF($F21="CVL",'Fleet Tech - Tech'!F$8,IF($F21="CV",'Fleet Tech - Tech'!F$9,IF($F21="SS",'Fleet Tech - Tech'!F$10,IF($F21="BBV",'Fleet Tech - Tech'!F$11,IF($F21="CB",'Fleet Tech - Tech'!F$15,IF($F21="AE",'Fleet Tech - Tech'!F$16,IF($F21="IX",'Fleet Tech - Tech'!F$17,IF($F21="BM",'Fleet Tech - Tech'!F$13,IF($F21="AR",'Fleet Tech - Tech'!F$12,IF($F21="SSV",'Fleet Tech - Tech'!F$14,"nil"))))))))))))))),0)</f>
        <v>0</v>
      </c>
      <c r="AZ21" s="12">
        <f>IF($H21=3,IF(OR($F21="DDV",$F21="DDG",$F21="DD"),'Fleet Tech - Tech'!G$3,IF($F21="CL",'Fleet Tech - Tech'!G$4,IF($F21="CA",'Fleet Tech - Tech'!G$5,IF($F21="BC",'Fleet Tech - Tech'!G$6,IF($F21="BB",'Fleet Tech - Tech'!G$7,IF($F21="CVL",'Fleet Tech - Tech'!G$8,IF($F21="CV",'Fleet Tech - Tech'!G$9,IF($F21="SS",'Fleet Tech - Tech'!G$10,IF($F21="BBV",'Fleet Tech - Tech'!G$11,IF($F21="CB",'Fleet Tech - Tech'!G$15,IF($F21="AE",'Fleet Tech - Tech'!G$16,IF($F21="IX",'Fleet Tech - Tech'!G$17,IF($F21="BM",'Fleet Tech - Tech'!G$13,IF($F21="AR",'Fleet Tech - Tech'!G$12,IF($F21="SSV",'Fleet Tech - Tech'!G$14,"nil"))))))))))))))),0)</f>
        <v>1</v>
      </c>
      <c r="BA21" s="12">
        <f>IF($H21=3,IF(OR($F21="DDV",$F21="DDG",$F21="DD"),'Fleet Tech - Tech'!H$3,IF($F21="CL",'Fleet Tech - Tech'!H$4,IF($F21="CA",'Fleet Tech - Tech'!H$5,IF($F21="BC",'Fleet Tech - Tech'!H$6,IF($F21="BB",'Fleet Tech - Tech'!H$7,IF($F21="CVL",'Fleet Tech - Tech'!H$8,IF($F21="CV",'Fleet Tech - Tech'!H$9,IF($F21="SS",'Fleet Tech - Tech'!H$10,IF($F21="BBV",'Fleet Tech - Tech'!H$11,IF($F21="CB",'Fleet Tech - Tech'!H$15,IF($F21="AE",'Fleet Tech - Tech'!H$16,IF($F21="IX",'Fleet Tech - Tech'!H$17,IF($F21="BM",'Fleet Tech - Tech'!H$13,IF($F21="AR",'Fleet Tech - Tech'!H$12,IF($F21="SSV",'Fleet Tech - Tech'!H$14,"nil"))))))))))))))),0)</f>
        <v>0</v>
      </c>
      <c r="BB21" s="12">
        <f>IF($H21=3,IF(OR($F21="DDV",$F21="DDG",$F21="DD"),'Fleet Tech - Tech'!I$3,IF($F21="CL",'Fleet Tech - Tech'!I$4,IF($F21="CA",'Fleet Tech - Tech'!I$5,IF($F21="BC",'Fleet Tech - Tech'!I$6,IF($F21="BB",'Fleet Tech - Tech'!I$7,IF($F21="CVL",'Fleet Tech - Tech'!I$8,IF($F21="CV",'Fleet Tech - Tech'!I$9,IF($F21="SS",'Fleet Tech - Tech'!I$10,IF($F21="BBV",'Fleet Tech - Tech'!I$11,IF($F21="CB",'Fleet Tech - Tech'!I$15,IF($F21="AE",'Fleet Tech - Tech'!I$16,IF($F21="IX",'Fleet Tech - Tech'!I$17,IF($F21="BM",'Fleet Tech - Tech'!I$13,IF($F21="AR",'Fleet Tech - Tech'!I$12,IF($F21="SSV",'Fleet Tech - Tech'!I$14,"nil"))))))))))))))),0)</f>
        <v>0</v>
      </c>
      <c r="BC21" s="12">
        <f>IF($H21=3,IF(OR($F21="DDV",$F21="DDG",$F21="DD"),'Fleet Tech - Tech'!J$3,IF($F21="CL",'Fleet Tech - Tech'!J$4,IF($F21="CA",'Fleet Tech - Tech'!J$5,IF($F21="BC",'Fleet Tech - Tech'!J$6,IF($F21="BB",'Fleet Tech - Tech'!J$7,IF($F21="CVL",'Fleet Tech - Tech'!J$8,IF($F21="CV",'Fleet Tech - Tech'!J$9,IF($F21="SS",'Fleet Tech - Tech'!J$10,IF($F21="BBV",'Fleet Tech - Tech'!J$11,IF($F21="CB",'Fleet Tech - Tech'!J$15,IF($F21="AE",'Fleet Tech - Tech'!J$16,IF($F21="IX",'Fleet Tech - Tech'!J$17,IF($F21="BM",'Fleet Tech - Tech'!J$13,IF($F21="AR",'Fleet Tech - Tech'!J$12,IF($F21="SSV",'Fleet Tech - Tech'!J$14,"nil"))))))))))))))),0)</f>
        <v>0</v>
      </c>
      <c r="BD21" s="12">
        <f>IF($H21=3,IF(OR($F21="DDV",$F21="DDG",$F21="DD"),'Fleet Tech - Tech'!K$3,IF($F21="CL",'Fleet Tech - Tech'!K$4,IF($F21="CA",'Fleet Tech - Tech'!K$5,IF($F21="BC",'Fleet Tech - Tech'!K$6,IF($F21="BB",'Fleet Tech - Tech'!K$7,IF($F21="CVL",'Fleet Tech - Tech'!K$8,IF($F21="CV",'Fleet Tech - Tech'!K$9,IF($F21="SS",'Fleet Tech - Tech'!K$10,IF($F21="BBV",'Fleet Tech - Tech'!K$11,IF($F21="CB",'Fleet Tech - Tech'!K$15,IF($F21="AE",'Fleet Tech - Tech'!K$16,IF($F21="IX",'Fleet Tech - Tech'!K$17,IF($F21="BM",'Fleet Tech - Tech'!K$13,IF($F21="AR",'Fleet Tech - Tech'!K$12,IF($F21="SSV",'Fleet Tech - Tech'!K$14,"nil"))))))))))))))),0)</f>
        <v>0</v>
      </c>
      <c r="BE21" s="12">
        <f>IF($H21=3,IF(OR($F21="DDV",$F21="DDG",$F21="DD"),'Fleet Tech - Tech'!L$3,IF($F21="CL",'Fleet Tech - Tech'!L$4,IF($F21="CA",'Fleet Tech - Tech'!L$5,IF($F21="BC",'Fleet Tech - Tech'!L$6,IF($F21="BB",'Fleet Tech - Tech'!L$7,IF($F21="CVL",'Fleet Tech - Tech'!L$8,IF($F21="CV",'Fleet Tech - Tech'!L$9,IF($F21="SS",'Fleet Tech - Tech'!L$10,IF($F21="BBV",'Fleet Tech - Tech'!L$11,IF($F21="CB",'Fleet Tech - Tech'!L$15,IF($F21="AE",'Fleet Tech - Tech'!L$16,IF($F21="IX",'Fleet Tech - Tech'!L$17,IF($F21="BM",'Fleet Tech - Tech'!L$13,IF($F21="AR",'Fleet Tech - Tech'!L$12,IF($F21="SSV",'Fleet Tech - Tech'!L$14,"nil"))))))))))))))),0)</f>
        <v>1</v>
      </c>
      <c r="BF21" s="12">
        <f>IF($H21=3,IF(OR($F21="DDV",$F21="DDG",$F21="DD"),'Fleet Tech - Tech'!M$3,IF($F21="CL",'Fleet Tech - Tech'!M$4,IF($F21="CA",'Fleet Tech - Tech'!M$5,IF($F21="BC",'Fleet Tech - Tech'!M$6,IF($F21="BB",'Fleet Tech - Tech'!M$7,IF($F21="CVL",'Fleet Tech - Tech'!M$8,IF($F21="CV",'Fleet Tech - Tech'!M$9,IF($F21="SS",'Fleet Tech - Tech'!M$10,IF($F21="BBV",'Fleet Tech - Tech'!M$11,IF($F21="CB",'Fleet Tech - Tech'!M$15,IF($F21="AE",'Fleet Tech - Tech'!M$16,IF($F21="IX",'Fleet Tech - Tech'!M$17,IF($F21="BM",'Fleet Tech - Tech'!M$13,IF($F21="AR",'Fleet Tech - Tech'!M$12,IF($F21="SSV",'Fleet Tech - Tech'!M$14,"nil"))))))))))))))),0)</f>
        <v>5</v>
      </c>
      <c r="BG21" s="12">
        <f>IF($H21=3,IF(OR($F21="DDV",$F21="DDG",$F21="DD"),'Fleet Tech - Tech'!N$3,IF($F21="CL",'Fleet Tech - Tech'!N$4,IF($F21="CA",'Fleet Tech - Tech'!N$5,IF($F21="BC",'Fleet Tech - Tech'!N$6,IF($F21="BB",'Fleet Tech - Tech'!N$7,IF($F21="CVL",'Fleet Tech - Tech'!N$8,IF($F21="CV",'Fleet Tech - Tech'!N$9,IF($F21="SS",'Fleet Tech - Tech'!N$10,IF($F21="BBV",'Fleet Tech - Tech'!N$11,IF($F21="CB",'Fleet Tech - Tech'!N$15,IF($F21="AE",'Fleet Tech - Tech'!N$16,IF($F21="IX",'Fleet Tech - Tech'!N$17,IF($F21="BM",'Fleet Tech - Tech'!N$13,IF($F21="AR",'Fleet Tech - Tech'!N$12,IF($F21="SSV",'Fleet Tech - Tech'!N$14,"nil"))))))))))))))),0)</f>
        <v>0</v>
      </c>
      <c r="BH21" s="28"/>
      <c r="BI21" s="12">
        <v>1798</v>
      </c>
      <c r="BJ21" s="12">
        <v>70</v>
      </c>
      <c r="BK21" s="12">
        <v>148</v>
      </c>
      <c r="BL21" s="12">
        <v>201</v>
      </c>
      <c r="BM21" s="12">
        <v>71</v>
      </c>
      <c r="BN21" s="12">
        <v>361</v>
      </c>
      <c r="BO21" s="12">
        <v>0</v>
      </c>
      <c r="BP21" s="12">
        <v>0</v>
      </c>
      <c r="BQ21" s="12">
        <v>45</v>
      </c>
      <c r="BR21" s="12">
        <v>9</v>
      </c>
      <c r="BS21" s="12">
        <v>166</v>
      </c>
      <c r="BT21" s="12">
        <v>217</v>
      </c>
      <c r="BU21" s="12">
        <v>205</v>
      </c>
      <c r="BV21" s="12">
        <v>335</v>
      </c>
      <c r="BW21" s="28"/>
      <c r="BX21" s="12">
        <v>4</v>
      </c>
      <c r="BY21" s="12">
        <v>9</v>
      </c>
      <c r="BZ21" s="12">
        <v>4</v>
      </c>
      <c r="CA21" s="12">
        <v>10</v>
      </c>
      <c r="CB21" s="12">
        <v>4</v>
      </c>
      <c r="CC21" s="12">
        <v>10</v>
      </c>
      <c r="CD21" s="12">
        <v>4</v>
      </c>
      <c r="CE21" s="12">
        <v>6</v>
      </c>
      <c r="CF21" s="12">
        <v>3</v>
      </c>
      <c r="CG21" s="12">
        <v>7</v>
      </c>
      <c r="CH21" s="12">
        <v>3</v>
      </c>
      <c r="CI21" s="12">
        <v>10</v>
      </c>
      <c r="CJ21" s="47"/>
      <c r="CK21" s="48">
        <f>IF(BX21=5,320,IF(BX21=4,195,IF(BX21=3,132,IF(BX21=2,90,IF(BX21=1,58,IF(BX21=-1,0,35))))))</f>
        <v>195</v>
      </c>
      <c r="CL21" s="48">
        <f>IF(BX21=5,20,IF(BX21=4,15,IF(BX21=3,12,IF(BX21=2,10,IF(BX21=1,8,IF(BX21=-1,0,5))))))</f>
        <v>15</v>
      </c>
      <c r="CM21" s="48">
        <f>IF(BZ21=5,320,IF(BZ21=4,195,IF(BZ21=3,132,IF(BZ21=2,90,IF(BZ21=1,58,IF(BZ21=-1,0,35))))))</f>
        <v>195</v>
      </c>
      <c r="CN21" s="48">
        <f>IF(BZ21=5,20,IF(BZ21=4,15,IF(BZ21=3,12,IF(BZ21=2,10,IF(BZ21=1,8,IF(BZ21=-1,0,5))))))</f>
        <v>15</v>
      </c>
      <c r="CO21" s="48">
        <f>IF(CB21=5,320,IF(CB21=4,195,IF(CB21=3,132,IF(CB21=2,90,IF(CB21=1,58,IF(CB21=-1,0,35))))))</f>
        <v>195</v>
      </c>
      <c r="CP21" s="48">
        <f>IF(CB21=5,20,IF(CB21=4,15,IF(CB21=3,12,IF(CB21=2,10,IF(CB21=1,8,IF(CB21=-1,0,5))))))</f>
        <v>15</v>
      </c>
      <c r="CQ21" s="48">
        <f>IF(CD21=5,320,IF(CD21=4,195,IF(CD21=3,132,IF(CD21=2,90,IF(CD21=1,58,IF(CD21=-1,0,35))))))</f>
        <v>195</v>
      </c>
      <c r="CR21" s="48">
        <f>IF(CD21=5,20,IF(CD21=4,15,IF(CD21=3,12,IF(CD21=2,10,IF(CD21=1,8,IF(CD21=-1,0,5))))))</f>
        <v>15</v>
      </c>
      <c r="CS21" s="48">
        <f>IF(CF21=5,320,IF(CF21=4,195,IF(CF21=3,132,IF(CF21=2,90,IF(CF21=1,58,IF(CF21=-1,0,35))))))</f>
        <v>132</v>
      </c>
      <c r="CT21" s="48">
        <f>IF(CF21=5,20,IF(CF21=4,15,IF(CF21=3,12,IF(CF21=2,10,IF(CF21=1,8,IF(CF21=-1,0,5))))))</f>
        <v>12</v>
      </c>
      <c r="CU21" s="48">
        <f>IF(CH21=5,320,IF(CH21=4,195,IF(CH21=3,132,IF(CH21=2,90,IF(CH21=1,58,IF(CH21=-1,0,35))))))</f>
        <v>132</v>
      </c>
      <c r="CV21" s="48">
        <f>IF(CH21=5,20,IF(CH21=4,15,IF(CH21=3,12,IF(CH21=2,10,IF(CH21=1,8,IF(CH21=-1,0,5))))))</f>
        <v>12</v>
      </c>
      <c r="CW21" s="48">
        <f>IF(BY21&gt;10,(BY21/10)-ROUNDDOWN(BY21/10,0),0)+IF(CA21&gt;10,(CA21/10)-ROUNDDOWN(CA21/10,0),0)+IF(CC21&gt;10,(CC21/10)-ROUNDDOWN(CC21/10,0),0)+IF(CE21&gt;10,(CE21/10)-ROUNDDOWN(CE21/10,0),0)+IF(CG21&gt;10,(CG21/10)-ROUNDDOWN(CG21/10,0),0)+IF(CI21&gt;10,(CI21/10)-ROUNDDOWN(CI21/10,0),0)</f>
        <v>0</v>
      </c>
      <c r="CX21" s="48">
        <f>1+(CW21/10)</f>
        <v>1</v>
      </c>
    </row>
    <row r="22" ht="20.05" customHeight="1">
      <c r="A22" t="s" s="43">
        <v>291</v>
      </c>
      <c r="B22" t="s" s="44">
        <v>292</v>
      </c>
      <c r="C22" t="s" s="45">
        <v>73</v>
      </c>
      <c r="D22" s="13">
        <v>3</v>
      </c>
      <c r="E22" t="s" s="15">
        <v>232</v>
      </c>
      <c r="F22" t="s" s="15">
        <v>284</v>
      </c>
      <c r="G22" t="s" s="15">
        <v>234</v>
      </c>
      <c r="H22" s="12">
        <v>3</v>
      </c>
      <c r="I22" t="s" s="15">
        <v>279</v>
      </c>
      <c r="J22" s="12">
        <v>109</v>
      </c>
      <c r="K22" t="s" s="14">
        <v>236</v>
      </c>
      <c r="L22" t="s" s="15">
        <v>265</v>
      </c>
      <c r="M22" t="s" s="15">
        <v>27</v>
      </c>
      <c r="N22" s="46">
        <f>ROUND((SUM(AA22,T22:Y22,AC22:AE22,Z22*10)-AB22*15)*(IF(K22="Heavy",0.15,IF(K22="Medium",0,IF(K22="Light",-0.15,10)))+1),0)</f>
        <v>1272</v>
      </c>
      <c r="O22" s="46">
        <v>2305</v>
      </c>
      <c r="P22" s="46">
        <f>ROUNDDOWN((BI22+AU22+AG22)/5,0)+(BJ22+AV22+AH22)+(BN22+AZ22+AL22)+(BO22+BA22+AM22)+(BK22+AW22+AI22)+(BS22+BE22+AQ22)+(BL22+AX22+AJ22)+(BQ22+BC22+AO22)+(2*((BT22+BF22+AR22)+(BU22+BG22+AS22)))+(CK22+CM22+CO22+CQ22+CS22+CU22)+(CL22*BY22)+(CN22*CA22)+(CP22+CC22)+(CR22+CE22)+(CT22+CG22)+(CV22+CI22)+BV22</f>
        <v>3632</v>
      </c>
      <c r="Q22" s="46">
        <f>ROUNDDOWN(((S22/5)+T22+X22+Y22+U22+AC22+V22+AA22+(2*(AD22+AE22))+CK22+CM22+CO22+CQ22+CS22+CU22+(CL22*BX22)+(CN22*BZ22)+(CP22*CB22)+(CR22*CD22)+(CT22*CF22)+(CV22*CH22))*CX22,0)</f>
        <v>3179</v>
      </c>
      <c r="R22" s="46">
        <f>ROUNDDOWN(AVERAGE(P22:Q22),0)</f>
        <v>3405</v>
      </c>
      <c r="S22" s="12">
        <f>AG22+AU22+BI22</f>
        <v>1806</v>
      </c>
      <c r="T22" s="12">
        <f>AH22+AV22+BJ22</f>
        <v>89</v>
      </c>
      <c r="U22" s="12">
        <f>AI22+AW22+BK22</f>
        <v>171</v>
      </c>
      <c r="V22" s="12">
        <f>AJ22+AX22+BL22</f>
        <v>193</v>
      </c>
      <c r="W22" s="12">
        <f>AK22+AY22+BM22</f>
        <v>69</v>
      </c>
      <c r="X22" s="12">
        <f>AL22+AZ22+BN22</f>
        <v>430</v>
      </c>
      <c r="Y22" s="12">
        <f>AM22+BA22+BO22</f>
        <v>0</v>
      </c>
      <c r="Z22" s="12">
        <f>AN22+BB22+BP22</f>
        <v>0</v>
      </c>
      <c r="AA22" s="12">
        <f>AO22+BC22+BQ22</f>
        <v>43</v>
      </c>
      <c r="AB22" s="12">
        <f>AP22+BD22+BR22</f>
        <v>7</v>
      </c>
      <c r="AC22" s="12">
        <f>AQ22+BE22+BS22</f>
        <v>197</v>
      </c>
      <c r="AD22" s="12">
        <f>AR22+BF22+BT22</f>
        <v>205</v>
      </c>
      <c r="AE22" s="12">
        <f>AS22+BG22+BU22</f>
        <v>205</v>
      </c>
      <c r="AF22" s="28"/>
      <c r="AG22" s="12">
        <v>0</v>
      </c>
      <c r="AH22" s="12">
        <v>7</v>
      </c>
      <c r="AI22" s="28"/>
      <c r="AJ22" s="28"/>
      <c r="AK22" s="12">
        <v>0</v>
      </c>
      <c r="AL22" s="28"/>
      <c r="AM22" s="12">
        <v>0</v>
      </c>
      <c r="AN22" s="12">
        <v>0</v>
      </c>
      <c r="AO22" s="12">
        <v>0</v>
      </c>
      <c r="AP22" s="12">
        <v>0</v>
      </c>
      <c r="AQ22" s="12">
        <v>0</v>
      </c>
      <c r="AR22" s="12">
        <v>4</v>
      </c>
      <c r="AS22" s="28"/>
      <c r="AT22" s="28"/>
      <c r="AU22" s="12">
        <f>IF($H22=3,IF(OR($F22="DDV",$F22="DDG",$F22="DD"),'Fleet Tech - Tech'!B$3,IF($F22="CL",'Fleet Tech - Tech'!B$4,IF($F22="CA",'Fleet Tech - Tech'!B$5,IF($F22="BC",'Fleet Tech - Tech'!B$6,IF($F22="BB",'Fleet Tech - Tech'!B$7,IF($F22="CVL",'Fleet Tech - Tech'!B$8,IF($F22="CV",'Fleet Tech - Tech'!B$9,IF($F22="SS",'Fleet Tech - Tech'!B$10,IF($F22="BBV",'Fleet Tech - Tech'!B$11,IF($F22="CB",'Fleet Tech - Tech'!B$15,IF($F22="AE",'Fleet Tech - Tech'!B$16,IF($F22="IX",'Fleet Tech - Tech'!B$17,IF($F22="BM",'Fleet Tech - Tech'!B$13,IF($F22="AR",'Fleet Tech - Tech'!B$12,IF($F22="SSV",'Fleet Tech - Tech'!B$14,"nil"))))))))))))))),0)</f>
        <v>128</v>
      </c>
      <c r="AV22" s="12">
        <f>IF($H22=3,IF(OR($F22="DDV",$F22="DDG",$F22="DD"),'Fleet Tech - Tech'!C$3,IF($F22="CL",'Fleet Tech - Tech'!C$4,IF($F22="CA",'Fleet Tech - Tech'!C$5,IF($F22="BC",'Fleet Tech - Tech'!C$6,IF($F22="BB",'Fleet Tech - Tech'!C$7,IF($F22="CVL",'Fleet Tech - Tech'!C$8,IF($F22="CV",'Fleet Tech - Tech'!C$9,IF($F22="SS",'Fleet Tech - Tech'!C$10,IF($F22="BBV",'Fleet Tech - Tech'!C$11,IF($F22="CB",'Fleet Tech - Tech'!C$15,IF($F22="AE",'Fleet Tech - Tech'!C$16,IF($F22="IX",'Fleet Tech - Tech'!C$17,IF($F22="BM",'Fleet Tech - Tech'!C$13,IF($F22="AR",'Fleet Tech - Tech'!C$12,IF($F22="SSV",'Fleet Tech - Tech'!C$14,"nil"))))))))))))))),0)</f>
        <v>11</v>
      </c>
      <c r="AW22" s="12">
        <f>IF($H22=3,IF(OR($F22="DDV",$F22="DDG",$F22="DD"),'Fleet Tech - Tech'!D$3,IF($F22="CL",'Fleet Tech - Tech'!D$4,IF($F22="CA",'Fleet Tech - Tech'!D$5,IF($F22="BC",'Fleet Tech - Tech'!D$6,IF($F22="BB",'Fleet Tech - Tech'!D$7,IF($F22="CVL",'Fleet Tech - Tech'!D$8,IF($F22="CV",'Fleet Tech - Tech'!D$9,IF($F22="SS",'Fleet Tech - Tech'!D$10,IF($F22="BBV",'Fleet Tech - Tech'!D$11,IF($F22="CB",'Fleet Tech - Tech'!D$15,IF($F22="AE",'Fleet Tech - Tech'!D$16,IF($F22="IX",'Fleet Tech - Tech'!D$17,IF($F22="BM",'Fleet Tech - Tech'!D$13,IF($F22="AR",'Fleet Tech - Tech'!D$12,IF($F22="SSV",'Fleet Tech - Tech'!D$14,"nil"))))))))))))))),0)</f>
        <v>3</v>
      </c>
      <c r="AX22" s="12">
        <f>IF($H22=3,IF(OR($F22="DDV",$F22="DDG",$F22="DD"),'Fleet Tech - Tech'!E$3,IF($F22="CL",'Fleet Tech - Tech'!E$4,IF($F22="CA",'Fleet Tech - Tech'!E$5,IF($F22="BC",'Fleet Tech - Tech'!E$6,IF($F22="BB",'Fleet Tech - Tech'!E$7,IF($F22="CVL",'Fleet Tech - Tech'!E$8,IF($F22="CV",'Fleet Tech - Tech'!E$9,IF($F22="SS",'Fleet Tech - Tech'!E$10,IF($F22="BBV",'Fleet Tech - Tech'!E$11,IF($F22="CB",'Fleet Tech - Tech'!E$15,IF($F22="AE",'Fleet Tech - Tech'!E$16,IF($F22="IX",'Fleet Tech - Tech'!E$17,IF($F22="BM",'Fleet Tech - Tech'!E$13,IF($F22="AR",'Fleet Tech - Tech'!E$12,IF($F22="SSV",'Fleet Tech - Tech'!E$14,"nil"))))))))))))))),0)</f>
        <v>2</v>
      </c>
      <c r="AY22" s="12">
        <f>IF($H22=3,IF(OR($F22="DDV",$F22="DDG",$F22="DD"),'Fleet Tech - Tech'!F$3,IF($F22="CL",'Fleet Tech - Tech'!F$4,IF($F22="CA",'Fleet Tech - Tech'!F$5,IF($F22="BC",'Fleet Tech - Tech'!F$6,IF($F22="BB",'Fleet Tech - Tech'!F$7,IF($F22="CVL",'Fleet Tech - Tech'!F$8,IF($F22="CV",'Fleet Tech - Tech'!F$9,IF($F22="SS",'Fleet Tech - Tech'!F$10,IF($F22="BBV",'Fleet Tech - Tech'!F$11,IF($F22="CB",'Fleet Tech - Tech'!F$15,IF($F22="AE",'Fleet Tech - Tech'!F$16,IF($F22="IX",'Fleet Tech - Tech'!F$17,IF($F22="BM",'Fleet Tech - Tech'!F$13,IF($F22="AR",'Fleet Tech - Tech'!F$12,IF($F22="SSV",'Fleet Tech - Tech'!F$14,"nil"))))))))))))))),0)</f>
        <v>0</v>
      </c>
      <c r="AZ22" s="12">
        <f>IF($H22=3,IF(OR($F22="DDV",$F22="DDG",$F22="DD"),'Fleet Tech - Tech'!G$3,IF($F22="CL",'Fleet Tech - Tech'!G$4,IF($F22="CA",'Fleet Tech - Tech'!G$5,IF($F22="BC",'Fleet Tech - Tech'!G$6,IF($F22="BB",'Fleet Tech - Tech'!G$7,IF($F22="CVL",'Fleet Tech - Tech'!G$8,IF($F22="CV",'Fleet Tech - Tech'!G$9,IF($F22="SS",'Fleet Tech - Tech'!G$10,IF($F22="BBV",'Fleet Tech - Tech'!G$11,IF($F22="CB",'Fleet Tech - Tech'!G$15,IF($F22="AE",'Fleet Tech - Tech'!G$16,IF($F22="IX",'Fleet Tech - Tech'!G$17,IF($F22="BM",'Fleet Tech - Tech'!G$13,IF($F22="AR",'Fleet Tech - Tech'!G$12,IF($F22="SSV",'Fleet Tech - Tech'!G$14,"nil"))))))))))))))),0)</f>
        <v>1</v>
      </c>
      <c r="BA22" s="12">
        <f>IF($H22=3,IF(OR($F22="DDV",$F22="DDG",$F22="DD"),'Fleet Tech - Tech'!H$3,IF($F22="CL",'Fleet Tech - Tech'!H$4,IF($F22="CA",'Fleet Tech - Tech'!H$5,IF($F22="BC",'Fleet Tech - Tech'!H$6,IF($F22="BB",'Fleet Tech - Tech'!H$7,IF($F22="CVL",'Fleet Tech - Tech'!H$8,IF($F22="CV",'Fleet Tech - Tech'!H$9,IF($F22="SS",'Fleet Tech - Tech'!H$10,IF($F22="BBV",'Fleet Tech - Tech'!H$11,IF($F22="CB",'Fleet Tech - Tech'!H$15,IF($F22="AE",'Fleet Tech - Tech'!H$16,IF($F22="IX",'Fleet Tech - Tech'!H$17,IF($F22="BM",'Fleet Tech - Tech'!H$13,IF($F22="AR",'Fleet Tech - Tech'!H$12,IF($F22="SSV",'Fleet Tech - Tech'!H$14,"nil"))))))))))))))),0)</f>
        <v>0</v>
      </c>
      <c r="BB22" s="12">
        <f>IF($H22=3,IF(OR($F22="DDV",$F22="DDG",$F22="DD"),'Fleet Tech - Tech'!I$3,IF($F22="CL",'Fleet Tech - Tech'!I$4,IF($F22="CA",'Fleet Tech - Tech'!I$5,IF($F22="BC",'Fleet Tech - Tech'!I$6,IF($F22="BB",'Fleet Tech - Tech'!I$7,IF($F22="CVL",'Fleet Tech - Tech'!I$8,IF($F22="CV",'Fleet Tech - Tech'!I$9,IF($F22="SS",'Fleet Tech - Tech'!I$10,IF($F22="BBV",'Fleet Tech - Tech'!I$11,IF($F22="CB",'Fleet Tech - Tech'!I$15,IF($F22="AE",'Fleet Tech - Tech'!I$16,IF($F22="IX",'Fleet Tech - Tech'!I$17,IF($F22="BM",'Fleet Tech - Tech'!I$13,IF($F22="AR",'Fleet Tech - Tech'!I$12,IF($F22="SSV",'Fleet Tech - Tech'!I$14,"nil"))))))))))))))),0)</f>
        <v>0</v>
      </c>
      <c r="BC22" s="12">
        <f>IF($H22=3,IF(OR($F22="DDV",$F22="DDG",$F22="DD"),'Fleet Tech - Tech'!J$3,IF($F22="CL",'Fleet Tech - Tech'!J$4,IF($F22="CA",'Fleet Tech - Tech'!J$5,IF($F22="BC",'Fleet Tech - Tech'!J$6,IF($F22="BB",'Fleet Tech - Tech'!J$7,IF($F22="CVL",'Fleet Tech - Tech'!J$8,IF($F22="CV",'Fleet Tech - Tech'!J$9,IF($F22="SS",'Fleet Tech - Tech'!J$10,IF($F22="BBV",'Fleet Tech - Tech'!J$11,IF($F22="CB",'Fleet Tech - Tech'!J$15,IF($F22="AE",'Fleet Tech - Tech'!J$16,IF($F22="IX",'Fleet Tech - Tech'!J$17,IF($F22="BM",'Fleet Tech - Tech'!J$13,IF($F22="AR",'Fleet Tech - Tech'!J$12,IF($F22="SSV",'Fleet Tech - Tech'!J$14,"nil"))))))))))))))),0)</f>
        <v>0</v>
      </c>
      <c r="BD22" s="12">
        <f>IF($H22=3,IF(OR($F22="DDV",$F22="DDG",$F22="DD"),'Fleet Tech - Tech'!K$3,IF($F22="CL",'Fleet Tech - Tech'!K$4,IF($F22="CA",'Fleet Tech - Tech'!K$5,IF($F22="BC",'Fleet Tech - Tech'!K$6,IF($F22="BB",'Fleet Tech - Tech'!K$7,IF($F22="CVL",'Fleet Tech - Tech'!K$8,IF($F22="CV",'Fleet Tech - Tech'!K$9,IF($F22="SS",'Fleet Tech - Tech'!K$10,IF($F22="BBV",'Fleet Tech - Tech'!K$11,IF($F22="CB",'Fleet Tech - Tech'!K$15,IF($F22="AE",'Fleet Tech - Tech'!K$16,IF($F22="IX",'Fleet Tech - Tech'!K$17,IF($F22="BM",'Fleet Tech - Tech'!K$13,IF($F22="AR",'Fleet Tech - Tech'!K$12,IF($F22="SSV",'Fleet Tech - Tech'!K$14,"nil"))))))))))))))),0)</f>
        <v>0</v>
      </c>
      <c r="BE22" s="12">
        <f>IF($H22=3,IF(OR($F22="DDV",$F22="DDG",$F22="DD"),'Fleet Tech - Tech'!L$3,IF($F22="CL",'Fleet Tech - Tech'!L$4,IF($F22="CA",'Fleet Tech - Tech'!L$5,IF($F22="BC",'Fleet Tech - Tech'!L$6,IF($F22="BB",'Fleet Tech - Tech'!L$7,IF($F22="CVL",'Fleet Tech - Tech'!L$8,IF($F22="CV",'Fleet Tech - Tech'!L$9,IF($F22="SS",'Fleet Tech - Tech'!L$10,IF($F22="BBV",'Fleet Tech - Tech'!L$11,IF($F22="CB",'Fleet Tech - Tech'!L$15,IF($F22="AE",'Fleet Tech - Tech'!L$16,IF($F22="IX",'Fleet Tech - Tech'!L$17,IF($F22="BM",'Fleet Tech - Tech'!L$13,IF($F22="AR",'Fleet Tech - Tech'!L$12,IF($F22="SSV",'Fleet Tech - Tech'!L$14,"nil"))))))))))))))),0)</f>
        <v>1</v>
      </c>
      <c r="BF22" s="12">
        <f>IF($H22=3,IF(OR($F22="DDV",$F22="DDG",$F22="DD"),'Fleet Tech - Tech'!M$3,IF($F22="CL",'Fleet Tech - Tech'!M$4,IF($F22="CA",'Fleet Tech - Tech'!M$5,IF($F22="BC",'Fleet Tech - Tech'!M$6,IF($F22="BB",'Fleet Tech - Tech'!M$7,IF($F22="CVL",'Fleet Tech - Tech'!M$8,IF($F22="CV",'Fleet Tech - Tech'!M$9,IF($F22="SS",'Fleet Tech - Tech'!M$10,IF($F22="BBV",'Fleet Tech - Tech'!M$11,IF($F22="CB",'Fleet Tech - Tech'!M$15,IF($F22="AE",'Fleet Tech - Tech'!M$16,IF($F22="IX",'Fleet Tech - Tech'!M$17,IF($F22="BM",'Fleet Tech - Tech'!M$13,IF($F22="AR",'Fleet Tech - Tech'!M$12,IF($F22="SSV",'Fleet Tech - Tech'!M$14,"nil"))))))))))))))),0)</f>
        <v>5</v>
      </c>
      <c r="BG22" s="12">
        <f>IF($H22=3,IF(OR($F22="DDV",$F22="DDG",$F22="DD"),'Fleet Tech - Tech'!N$3,IF($F22="CL",'Fleet Tech - Tech'!N$4,IF($F22="CA",'Fleet Tech - Tech'!N$5,IF($F22="BC",'Fleet Tech - Tech'!N$6,IF($F22="BB",'Fleet Tech - Tech'!N$7,IF($F22="CVL",'Fleet Tech - Tech'!N$8,IF($F22="CV",'Fleet Tech - Tech'!N$9,IF($F22="SS",'Fleet Tech - Tech'!N$10,IF($F22="BBV",'Fleet Tech - Tech'!N$11,IF($F22="CB",'Fleet Tech - Tech'!N$15,IF($F22="AE",'Fleet Tech - Tech'!N$16,IF($F22="IX",'Fleet Tech - Tech'!N$17,IF($F22="BM",'Fleet Tech - Tech'!N$13,IF($F22="AR",'Fleet Tech - Tech'!N$12,IF($F22="SSV",'Fleet Tech - Tech'!N$14,"nil"))))))))))))))),0)</f>
        <v>0</v>
      </c>
      <c r="BH22" s="28"/>
      <c r="BI22" s="12">
        <v>1678</v>
      </c>
      <c r="BJ22" s="12">
        <v>71</v>
      </c>
      <c r="BK22" s="12">
        <v>168</v>
      </c>
      <c r="BL22" s="12">
        <v>191</v>
      </c>
      <c r="BM22" s="12">
        <v>69</v>
      </c>
      <c r="BN22" s="12">
        <v>429</v>
      </c>
      <c r="BO22" s="12">
        <v>0</v>
      </c>
      <c r="BP22" s="12">
        <v>0</v>
      </c>
      <c r="BQ22" s="12">
        <v>43</v>
      </c>
      <c r="BR22" s="12">
        <v>7</v>
      </c>
      <c r="BS22" s="12">
        <v>196</v>
      </c>
      <c r="BT22" s="12">
        <v>196</v>
      </c>
      <c r="BU22" s="12">
        <v>205</v>
      </c>
      <c r="BV22" s="12">
        <v>335</v>
      </c>
      <c r="BW22" s="28"/>
      <c r="BX22" s="12">
        <v>4</v>
      </c>
      <c r="BY22" s="12">
        <v>9</v>
      </c>
      <c r="BZ22" s="12">
        <v>4</v>
      </c>
      <c r="CA22" s="12">
        <v>10</v>
      </c>
      <c r="CB22" s="12">
        <v>4</v>
      </c>
      <c r="CC22" s="12">
        <v>10</v>
      </c>
      <c r="CD22" s="12">
        <v>-1</v>
      </c>
      <c r="CE22" s="12">
        <v>-1</v>
      </c>
      <c r="CF22" s="12">
        <v>-1</v>
      </c>
      <c r="CG22" s="12">
        <v>-1</v>
      </c>
      <c r="CH22" s="12">
        <v>2</v>
      </c>
      <c r="CI22" s="12">
        <v>0</v>
      </c>
      <c r="CJ22" s="47"/>
      <c r="CK22" s="48">
        <f>IF(BX22=5,320,IF(BX22=4,195,IF(BX22=3,132,IF(BX22=2,90,IF(BX22=1,58,IF(BX22=-1,0,35))))))</f>
        <v>195</v>
      </c>
      <c r="CL22" s="48">
        <f>IF(BX22=5,20,IF(BX22=4,15,IF(BX22=3,12,IF(BX22=2,10,IF(BX22=1,8,IF(BX22=-1,0,5))))))</f>
        <v>15</v>
      </c>
      <c r="CM22" s="48">
        <f>IF(BZ22=5,320,IF(BZ22=4,195,IF(BZ22=3,132,IF(BZ22=2,90,IF(BZ22=1,58,IF(BZ22=-1,0,35))))))</f>
        <v>195</v>
      </c>
      <c r="CN22" s="48">
        <f>IF(BZ22=5,20,IF(BZ22=4,15,IF(BZ22=3,12,IF(BZ22=2,10,IF(BZ22=1,8,IF(BZ22=-1,0,5))))))</f>
        <v>15</v>
      </c>
      <c r="CO22" s="48">
        <f>IF(CB22=5,320,IF(CB22=4,195,IF(CB22=3,132,IF(CB22=2,90,IF(CB22=1,58,IF(CB22=-1,0,35))))))</f>
        <v>195</v>
      </c>
      <c r="CP22" s="48">
        <f>IF(CB22=5,20,IF(CB22=4,15,IF(CB22=3,12,IF(CB22=2,10,IF(CB22=1,8,IF(CB22=-1,0,5))))))</f>
        <v>15</v>
      </c>
      <c r="CQ22" s="48">
        <f>IF(CD22=5,320,IF(CD22=4,195,IF(CD22=3,132,IF(CD22=2,90,IF(CD22=1,58,IF(CD22=-1,0,35))))))</f>
        <v>0</v>
      </c>
      <c r="CR22" s="48">
        <f>IF(CD22=5,20,IF(CD22=4,15,IF(CD22=3,12,IF(CD22=2,10,IF(CD22=1,8,IF(CD22=-1,0,5))))))</f>
        <v>0</v>
      </c>
      <c r="CS22" s="48">
        <f>IF(CF22=5,320,IF(CF22=4,195,IF(CF22=3,132,IF(CF22=2,90,IF(CF22=1,58,IF(CF22=-1,0,35))))))</f>
        <v>0</v>
      </c>
      <c r="CT22" s="48">
        <f>IF(CF22=5,20,IF(CF22=4,15,IF(CF22=3,12,IF(CF22=2,10,IF(CF22=1,8,IF(CF22=-1,0,5))))))</f>
        <v>0</v>
      </c>
      <c r="CU22" s="48">
        <f>IF(CH22=5,320,IF(CH22=4,195,IF(CH22=3,132,IF(CH22=2,90,IF(CH22=1,58,IF(CH22=-1,0,35))))))</f>
        <v>90</v>
      </c>
      <c r="CV22" s="48">
        <f>IF(CH22=5,20,IF(CH22=4,15,IF(CH22=3,12,IF(CH22=2,10,IF(CH22=1,8,IF(CH22=-1,0,5))))))</f>
        <v>10</v>
      </c>
      <c r="CW22" s="48">
        <f>IF(BY22&gt;10,(BY22/10)-ROUNDDOWN(BY22/10,0),0)+IF(CA22&gt;10,(CA22/10)-ROUNDDOWN(CA22/10,0),0)+IF(CC22&gt;10,(CC22/10)-ROUNDDOWN(CC22/10,0),0)+IF(CE22&gt;10,(CE22/10)-ROUNDDOWN(CE22/10,0),0)+IF(CG22&gt;10,(CG22/10)-ROUNDDOWN(CG22/10,0),0)+IF(CI22&gt;10,(CI22/10)-ROUNDDOWN(CI22/10,0),0)</f>
        <v>0</v>
      </c>
      <c r="CX22" s="48">
        <f>1+(CW22/10)</f>
        <v>1</v>
      </c>
    </row>
    <row r="23" ht="20.05" customHeight="1">
      <c r="A23" t="s" s="43">
        <v>293</v>
      </c>
      <c r="B23" s="49"/>
      <c r="C23" t="s" s="45">
        <v>73</v>
      </c>
      <c r="D23" s="13">
        <v>3</v>
      </c>
      <c r="E23" t="s" s="15">
        <v>232</v>
      </c>
      <c r="F23" t="s" s="15">
        <v>284</v>
      </c>
      <c r="G23" t="s" s="15">
        <v>262</v>
      </c>
      <c r="H23" s="12">
        <v>3</v>
      </c>
      <c r="I23" t="s" s="15">
        <v>235</v>
      </c>
      <c r="J23" s="12">
        <v>106</v>
      </c>
      <c r="K23" t="s" s="14">
        <v>236</v>
      </c>
      <c r="L23" t="s" s="15">
        <v>254</v>
      </c>
      <c r="M23" t="s" s="15">
        <v>290</v>
      </c>
      <c r="N23" s="46">
        <f>ROUND((SUM(AA23,T23:Y23,AC23:AE23,Z23*10)-AB23*15)*(IF(K23="Heavy",0.15,IF(K23="Medium",0,IF(K23="Light",-0.15,10)))+1),0)</f>
        <v>1293</v>
      </c>
      <c r="O23" s="46">
        <v>3679</v>
      </c>
      <c r="P23" s="46">
        <f>ROUNDDOWN((BI23+AU23+AG23)/5,0)+(BJ23+AV23+AH23)+(BN23+AZ23+AL23)+(BO23+BA23+AM23)+(BK23+AW23+AI23)+(BS23+BE23+AQ23)+(BL23+AX23+AJ23)+(BQ23+BC23+AO23)+(2*((BT23+BF23+AR23)+(BU23+BG23+AS23)))+(CK23+CM23+CO23+CQ23+CS23+CU23)+(CL23*BY23)+(CN23*CA23)+(CP23+CC23)+(CR23+CE23)+(CT23+CG23)+(CV23+CI23)+BV23</f>
        <v>3810</v>
      </c>
      <c r="Q23" s="46">
        <f>ROUNDDOWN(((S23/5)+T23+X23+Y23+U23+AC23+V23+AA23+(2*(AD23+AE23))+CK23+CM23+CO23+CQ23+CS23+CU23+(CL23*BX23)+(CN23*BZ23)+(CP23*CB23)+(CR23*CD23)+(CT23*CF23)+(CV23*CH23))*CX23,0)</f>
        <v>3429</v>
      </c>
      <c r="R23" s="46">
        <f>ROUNDDOWN(AVERAGE(P23:Q23),0)</f>
        <v>3619</v>
      </c>
      <c r="S23" s="12">
        <f>AG23+AU23+BI23</f>
        <v>2557</v>
      </c>
      <c r="T23" s="12">
        <f>AH23+AV23+BJ23</f>
        <v>90</v>
      </c>
      <c r="U23" s="12">
        <f>AI23+AW23+BK23</f>
        <v>203</v>
      </c>
      <c r="V23" s="12">
        <f>AJ23+AX23+BL23</f>
        <v>193</v>
      </c>
      <c r="W23" s="12">
        <f>AK23+AY23+BM23</f>
        <v>73</v>
      </c>
      <c r="X23" s="12">
        <f>AL23+AZ23+BN23</f>
        <v>472</v>
      </c>
      <c r="Y23" s="12">
        <f>AM23+BA23+BO23</f>
        <v>0</v>
      </c>
      <c r="Z23" s="12">
        <f>AN23+BB23+BP23</f>
        <v>0</v>
      </c>
      <c r="AA23" s="12">
        <f>AO23+BC23+BQ23</f>
        <v>45</v>
      </c>
      <c r="AB23" s="12">
        <f>AP23+BD23+BR23</f>
        <v>10</v>
      </c>
      <c r="AC23" s="12">
        <f>AQ23+BE23+BS23</f>
        <v>202</v>
      </c>
      <c r="AD23" s="12">
        <f>AR23+BF23+BT23</f>
        <v>208</v>
      </c>
      <c r="AE23" s="12">
        <f>AS23+BG23+BU23</f>
        <v>185</v>
      </c>
      <c r="AF23" s="28"/>
      <c r="AG23" s="12">
        <v>667</v>
      </c>
      <c r="AH23" s="12">
        <v>10</v>
      </c>
      <c r="AI23" s="12">
        <v>60</v>
      </c>
      <c r="AJ23" s="12">
        <v>0</v>
      </c>
      <c r="AK23" s="12">
        <v>0</v>
      </c>
      <c r="AL23" s="12">
        <v>25</v>
      </c>
      <c r="AM23" s="12">
        <v>0</v>
      </c>
      <c r="AN23" s="12">
        <v>0</v>
      </c>
      <c r="AO23" s="12">
        <v>0</v>
      </c>
      <c r="AP23" s="12">
        <v>0</v>
      </c>
      <c r="AQ23" s="12">
        <v>0</v>
      </c>
      <c r="AR23" s="12">
        <v>4</v>
      </c>
      <c r="AS23" s="12">
        <v>0</v>
      </c>
      <c r="AT23" s="28"/>
      <c r="AU23" s="12">
        <f>IF($H23=3,IF(OR($F23="DDV",$F23="DDG",$F23="DD"),'Fleet Tech - Tech'!B$3,IF($F23="CL",'Fleet Tech - Tech'!B$4,IF($F23="CA",'Fleet Tech - Tech'!B$5,IF($F23="BC",'Fleet Tech - Tech'!B$6,IF($F23="BB",'Fleet Tech - Tech'!B$7,IF($F23="CVL",'Fleet Tech - Tech'!B$8,IF($F23="CV",'Fleet Tech - Tech'!B$9,IF($F23="SS",'Fleet Tech - Tech'!B$10,IF($F23="BBV",'Fleet Tech - Tech'!B$11,IF($F23="CB",'Fleet Tech - Tech'!B$15,IF($F23="AE",'Fleet Tech - Tech'!B$16,IF($F23="IX",'Fleet Tech - Tech'!B$17,IF($F23="BM",'Fleet Tech - Tech'!B$13,IF($F23="AR",'Fleet Tech - Tech'!B$12,IF($F23="SSV",'Fleet Tech - Tech'!B$14,"nil"))))))))))))))),0)</f>
        <v>128</v>
      </c>
      <c r="AV23" s="12">
        <f>IF($H23=3,IF(OR($F23="DDV",$F23="DDG",$F23="DD"),'Fleet Tech - Tech'!C$3,IF($F23="CL",'Fleet Tech - Tech'!C$4,IF($F23="CA",'Fleet Tech - Tech'!C$5,IF($F23="BC",'Fleet Tech - Tech'!C$6,IF($F23="BB",'Fleet Tech - Tech'!C$7,IF($F23="CVL",'Fleet Tech - Tech'!C$8,IF($F23="CV",'Fleet Tech - Tech'!C$9,IF($F23="SS",'Fleet Tech - Tech'!C$10,IF($F23="BBV",'Fleet Tech - Tech'!C$11,IF($F23="CB",'Fleet Tech - Tech'!C$15,IF($F23="AE",'Fleet Tech - Tech'!C$16,IF($F23="IX",'Fleet Tech - Tech'!C$17,IF($F23="BM",'Fleet Tech - Tech'!C$13,IF($F23="AR",'Fleet Tech - Tech'!C$12,IF($F23="SSV",'Fleet Tech - Tech'!C$14,"nil"))))))))))))))),0)</f>
        <v>11</v>
      </c>
      <c r="AW23" s="12">
        <f>IF($H23=3,IF(OR($F23="DDV",$F23="DDG",$F23="DD"),'Fleet Tech - Tech'!D$3,IF($F23="CL",'Fleet Tech - Tech'!D$4,IF($F23="CA",'Fleet Tech - Tech'!D$5,IF($F23="BC",'Fleet Tech - Tech'!D$6,IF($F23="BB",'Fleet Tech - Tech'!D$7,IF($F23="CVL",'Fleet Tech - Tech'!D$8,IF($F23="CV",'Fleet Tech - Tech'!D$9,IF($F23="SS",'Fleet Tech - Tech'!D$10,IF($F23="BBV",'Fleet Tech - Tech'!D$11,IF($F23="CB",'Fleet Tech - Tech'!D$15,IF($F23="AE",'Fleet Tech - Tech'!D$16,IF($F23="IX",'Fleet Tech - Tech'!D$17,IF($F23="BM",'Fleet Tech - Tech'!D$13,IF($F23="AR",'Fleet Tech - Tech'!D$12,IF($F23="SSV",'Fleet Tech - Tech'!D$14,"nil"))))))))))))))),0)</f>
        <v>3</v>
      </c>
      <c r="AX23" s="12">
        <f>IF($H23=3,IF(OR($F23="DDV",$F23="DDG",$F23="DD"),'Fleet Tech - Tech'!E$3,IF($F23="CL",'Fleet Tech - Tech'!E$4,IF($F23="CA",'Fleet Tech - Tech'!E$5,IF($F23="BC",'Fleet Tech - Tech'!E$6,IF($F23="BB",'Fleet Tech - Tech'!E$7,IF($F23="CVL",'Fleet Tech - Tech'!E$8,IF($F23="CV",'Fleet Tech - Tech'!E$9,IF($F23="SS",'Fleet Tech - Tech'!E$10,IF($F23="BBV",'Fleet Tech - Tech'!E$11,IF($F23="CB",'Fleet Tech - Tech'!E$15,IF($F23="AE",'Fleet Tech - Tech'!E$16,IF($F23="IX",'Fleet Tech - Tech'!E$17,IF($F23="BM",'Fleet Tech - Tech'!E$13,IF($F23="AR",'Fleet Tech - Tech'!E$12,IF($F23="SSV",'Fleet Tech - Tech'!E$14,"nil"))))))))))))))),0)</f>
        <v>2</v>
      </c>
      <c r="AY23" s="12">
        <f>IF($H23=3,IF(OR($F23="DDV",$F23="DDG",$F23="DD"),'Fleet Tech - Tech'!F$3,IF($F23="CL",'Fleet Tech - Tech'!F$4,IF($F23="CA",'Fleet Tech - Tech'!F$5,IF($F23="BC",'Fleet Tech - Tech'!F$6,IF($F23="BB",'Fleet Tech - Tech'!F$7,IF($F23="CVL",'Fleet Tech - Tech'!F$8,IF($F23="CV",'Fleet Tech - Tech'!F$9,IF($F23="SS",'Fleet Tech - Tech'!F$10,IF($F23="BBV",'Fleet Tech - Tech'!F$11,IF($F23="CB",'Fleet Tech - Tech'!F$15,IF($F23="AE",'Fleet Tech - Tech'!F$16,IF($F23="IX",'Fleet Tech - Tech'!F$17,IF($F23="BM",'Fleet Tech - Tech'!F$13,IF($F23="AR",'Fleet Tech - Tech'!F$12,IF($F23="SSV",'Fleet Tech - Tech'!F$14,"nil"))))))))))))))),0)</f>
        <v>0</v>
      </c>
      <c r="AZ23" s="12">
        <f>IF($H23=3,IF(OR($F23="DDV",$F23="DDG",$F23="DD"),'Fleet Tech - Tech'!G$3,IF($F23="CL",'Fleet Tech - Tech'!G$4,IF($F23="CA",'Fleet Tech - Tech'!G$5,IF($F23="BC",'Fleet Tech - Tech'!G$6,IF($F23="BB",'Fleet Tech - Tech'!G$7,IF($F23="CVL",'Fleet Tech - Tech'!G$8,IF($F23="CV",'Fleet Tech - Tech'!G$9,IF($F23="SS",'Fleet Tech - Tech'!G$10,IF($F23="BBV",'Fleet Tech - Tech'!G$11,IF($F23="CB",'Fleet Tech - Tech'!G$15,IF($F23="AE",'Fleet Tech - Tech'!G$16,IF($F23="IX",'Fleet Tech - Tech'!G$17,IF($F23="BM",'Fleet Tech - Tech'!G$13,IF($F23="AR",'Fleet Tech - Tech'!G$12,IF($F23="SSV",'Fleet Tech - Tech'!G$14,"nil"))))))))))))))),0)</f>
        <v>1</v>
      </c>
      <c r="BA23" s="12">
        <f>IF($H23=3,IF(OR($F23="DDV",$F23="DDG",$F23="DD"),'Fleet Tech - Tech'!H$3,IF($F23="CL",'Fleet Tech - Tech'!H$4,IF($F23="CA",'Fleet Tech - Tech'!H$5,IF($F23="BC",'Fleet Tech - Tech'!H$6,IF($F23="BB",'Fleet Tech - Tech'!H$7,IF($F23="CVL",'Fleet Tech - Tech'!H$8,IF($F23="CV",'Fleet Tech - Tech'!H$9,IF($F23="SS",'Fleet Tech - Tech'!H$10,IF($F23="BBV",'Fleet Tech - Tech'!H$11,IF($F23="CB",'Fleet Tech - Tech'!H$15,IF($F23="AE",'Fleet Tech - Tech'!H$16,IF($F23="IX",'Fleet Tech - Tech'!H$17,IF($F23="BM",'Fleet Tech - Tech'!H$13,IF($F23="AR",'Fleet Tech - Tech'!H$12,IF($F23="SSV",'Fleet Tech - Tech'!H$14,"nil"))))))))))))))),0)</f>
        <v>0</v>
      </c>
      <c r="BB23" s="12">
        <f>IF($H23=3,IF(OR($F23="DDV",$F23="DDG",$F23="DD"),'Fleet Tech - Tech'!I$3,IF($F23="CL",'Fleet Tech - Tech'!I$4,IF($F23="CA",'Fleet Tech - Tech'!I$5,IF($F23="BC",'Fleet Tech - Tech'!I$6,IF($F23="BB",'Fleet Tech - Tech'!I$7,IF($F23="CVL",'Fleet Tech - Tech'!I$8,IF($F23="CV",'Fleet Tech - Tech'!I$9,IF($F23="SS",'Fleet Tech - Tech'!I$10,IF($F23="BBV",'Fleet Tech - Tech'!I$11,IF($F23="CB",'Fleet Tech - Tech'!I$15,IF($F23="AE",'Fleet Tech - Tech'!I$16,IF($F23="IX",'Fleet Tech - Tech'!I$17,IF($F23="BM",'Fleet Tech - Tech'!I$13,IF($F23="AR",'Fleet Tech - Tech'!I$12,IF($F23="SSV",'Fleet Tech - Tech'!I$14,"nil"))))))))))))))),0)</f>
        <v>0</v>
      </c>
      <c r="BC23" s="12">
        <f>IF($H23=3,IF(OR($F23="DDV",$F23="DDG",$F23="DD"),'Fleet Tech - Tech'!J$3,IF($F23="CL",'Fleet Tech - Tech'!J$4,IF($F23="CA",'Fleet Tech - Tech'!J$5,IF($F23="BC",'Fleet Tech - Tech'!J$6,IF($F23="BB",'Fleet Tech - Tech'!J$7,IF($F23="CVL",'Fleet Tech - Tech'!J$8,IF($F23="CV",'Fleet Tech - Tech'!J$9,IF($F23="SS",'Fleet Tech - Tech'!J$10,IF($F23="BBV",'Fleet Tech - Tech'!J$11,IF($F23="CB",'Fleet Tech - Tech'!J$15,IF($F23="AE",'Fleet Tech - Tech'!J$16,IF($F23="IX",'Fleet Tech - Tech'!J$17,IF($F23="BM",'Fleet Tech - Tech'!J$13,IF($F23="AR",'Fleet Tech - Tech'!J$12,IF($F23="SSV",'Fleet Tech - Tech'!J$14,"nil"))))))))))))))),0)</f>
        <v>0</v>
      </c>
      <c r="BD23" s="12">
        <f>IF($H23=3,IF(OR($F23="DDV",$F23="DDG",$F23="DD"),'Fleet Tech - Tech'!K$3,IF($F23="CL",'Fleet Tech - Tech'!K$4,IF($F23="CA",'Fleet Tech - Tech'!K$5,IF($F23="BC",'Fleet Tech - Tech'!K$6,IF($F23="BB",'Fleet Tech - Tech'!K$7,IF($F23="CVL",'Fleet Tech - Tech'!K$8,IF($F23="CV",'Fleet Tech - Tech'!K$9,IF($F23="SS",'Fleet Tech - Tech'!K$10,IF($F23="BBV",'Fleet Tech - Tech'!K$11,IF($F23="CB",'Fleet Tech - Tech'!K$15,IF($F23="AE",'Fleet Tech - Tech'!K$16,IF($F23="IX",'Fleet Tech - Tech'!K$17,IF($F23="BM",'Fleet Tech - Tech'!K$13,IF($F23="AR",'Fleet Tech - Tech'!K$12,IF($F23="SSV",'Fleet Tech - Tech'!K$14,"nil"))))))))))))))),0)</f>
        <v>0</v>
      </c>
      <c r="BE23" s="12">
        <f>IF($H23=3,IF(OR($F23="DDV",$F23="DDG",$F23="DD"),'Fleet Tech - Tech'!L$3,IF($F23="CL",'Fleet Tech - Tech'!L$4,IF($F23="CA",'Fleet Tech - Tech'!L$5,IF($F23="BC",'Fleet Tech - Tech'!L$6,IF($F23="BB",'Fleet Tech - Tech'!L$7,IF($F23="CVL",'Fleet Tech - Tech'!L$8,IF($F23="CV",'Fleet Tech - Tech'!L$9,IF($F23="SS",'Fleet Tech - Tech'!L$10,IF($F23="BBV",'Fleet Tech - Tech'!L$11,IF($F23="CB",'Fleet Tech - Tech'!L$15,IF($F23="AE",'Fleet Tech - Tech'!L$16,IF($F23="IX",'Fleet Tech - Tech'!L$17,IF($F23="BM",'Fleet Tech - Tech'!L$13,IF($F23="AR",'Fleet Tech - Tech'!L$12,IF($F23="SSV",'Fleet Tech - Tech'!L$14,"nil"))))))))))))))),0)</f>
        <v>1</v>
      </c>
      <c r="BF23" s="12">
        <f>IF($H23=3,IF(OR($F23="DDV",$F23="DDG",$F23="DD"),'Fleet Tech - Tech'!M$3,IF($F23="CL",'Fleet Tech - Tech'!M$4,IF($F23="CA",'Fleet Tech - Tech'!M$5,IF($F23="BC",'Fleet Tech - Tech'!M$6,IF($F23="BB",'Fleet Tech - Tech'!M$7,IF($F23="CVL",'Fleet Tech - Tech'!M$8,IF($F23="CV",'Fleet Tech - Tech'!M$9,IF($F23="SS",'Fleet Tech - Tech'!M$10,IF($F23="BBV",'Fleet Tech - Tech'!M$11,IF($F23="CB",'Fleet Tech - Tech'!M$15,IF($F23="AE",'Fleet Tech - Tech'!M$16,IF($F23="IX",'Fleet Tech - Tech'!M$17,IF($F23="BM",'Fleet Tech - Tech'!M$13,IF($F23="AR",'Fleet Tech - Tech'!M$12,IF($F23="SSV",'Fleet Tech - Tech'!M$14,"nil"))))))))))))))),0)</f>
        <v>5</v>
      </c>
      <c r="BG23" s="12">
        <f>IF($H23=3,IF(OR($F23="DDV",$F23="DDG",$F23="DD"),'Fleet Tech - Tech'!N$3,IF($F23="CL",'Fleet Tech - Tech'!N$4,IF($F23="CA",'Fleet Tech - Tech'!N$5,IF($F23="BC",'Fleet Tech - Tech'!N$6,IF($F23="BB",'Fleet Tech - Tech'!N$7,IF($F23="CVL",'Fleet Tech - Tech'!N$8,IF($F23="CV",'Fleet Tech - Tech'!N$9,IF($F23="SS",'Fleet Tech - Tech'!N$10,IF($F23="BBV",'Fleet Tech - Tech'!N$11,IF($F23="CB",'Fleet Tech - Tech'!N$15,IF($F23="AE",'Fleet Tech - Tech'!N$16,IF($F23="IX",'Fleet Tech - Tech'!N$17,IF($F23="BM",'Fleet Tech - Tech'!N$13,IF($F23="AR",'Fleet Tech - Tech'!N$12,IF($F23="SSV",'Fleet Tech - Tech'!N$14,"nil"))))))))))))))),0)</f>
        <v>0</v>
      </c>
      <c r="BH23" s="28"/>
      <c r="BI23" s="12">
        <v>1762</v>
      </c>
      <c r="BJ23" s="12">
        <v>69</v>
      </c>
      <c r="BK23" s="12">
        <v>140</v>
      </c>
      <c r="BL23" s="12">
        <v>191</v>
      </c>
      <c r="BM23" s="12">
        <v>73</v>
      </c>
      <c r="BN23" s="12">
        <v>446</v>
      </c>
      <c r="BO23" s="12">
        <v>0</v>
      </c>
      <c r="BP23" s="12">
        <v>0</v>
      </c>
      <c r="BQ23" s="12">
        <v>45</v>
      </c>
      <c r="BR23" s="12">
        <v>10</v>
      </c>
      <c r="BS23" s="12">
        <v>201</v>
      </c>
      <c r="BT23" s="12">
        <v>199</v>
      </c>
      <c r="BU23" s="12">
        <v>185</v>
      </c>
      <c r="BV23" s="12">
        <v>335</v>
      </c>
      <c r="BW23" s="28"/>
      <c r="BX23" s="12">
        <v>3</v>
      </c>
      <c r="BY23" s="12">
        <v>6</v>
      </c>
      <c r="BZ23" s="12">
        <v>3</v>
      </c>
      <c r="CA23" s="12">
        <v>10</v>
      </c>
      <c r="CB23" s="12">
        <v>4</v>
      </c>
      <c r="CC23" s="12">
        <v>7</v>
      </c>
      <c r="CD23" s="12">
        <v>3</v>
      </c>
      <c r="CE23" s="12">
        <v>6</v>
      </c>
      <c r="CF23" s="12">
        <v>3</v>
      </c>
      <c r="CG23" s="12">
        <v>7</v>
      </c>
      <c r="CH23" s="12">
        <v>-1</v>
      </c>
      <c r="CI23" s="12">
        <v>-1</v>
      </c>
      <c r="CJ23" s="47"/>
      <c r="CK23" s="48">
        <f>IF(BX23=5,320,IF(BX23=4,195,IF(BX23=3,132,IF(BX23=2,90,IF(BX23=1,58,IF(BX23=-1,0,35))))))</f>
        <v>132</v>
      </c>
      <c r="CL23" s="48">
        <f>IF(BX23=5,20,IF(BX23=4,15,IF(BX23=3,12,IF(BX23=2,10,IF(BX23=1,8,IF(BX23=-1,0,5))))))</f>
        <v>12</v>
      </c>
      <c r="CM23" s="48">
        <f>IF(BZ23=5,320,IF(BZ23=4,195,IF(BZ23=3,132,IF(BZ23=2,90,IF(BZ23=1,58,IF(BZ23=-1,0,35))))))</f>
        <v>132</v>
      </c>
      <c r="CN23" s="48">
        <f>IF(BZ23=5,20,IF(BZ23=4,15,IF(BZ23=3,12,IF(BZ23=2,10,IF(BZ23=1,8,IF(BZ23=-1,0,5))))))</f>
        <v>12</v>
      </c>
      <c r="CO23" s="48">
        <f>IF(CB23=5,320,IF(CB23=4,195,IF(CB23=3,132,IF(CB23=2,90,IF(CB23=1,58,IF(CB23=-1,0,35))))))</f>
        <v>195</v>
      </c>
      <c r="CP23" s="48">
        <f>IF(CB23=5,20,IF(CB23=4,15,IF(CB23=3,12,IF(CB23=2,10,IF(CB23=1,8,IF(CB23=-1,0,5))))))</f>
        <v>15</v>
      </c>
      <c r="CQ23" s="48">
        <f>IF(CD23=5,320,IF(CD23=4,195,IF(CD23=3,132,IF(CD23=2,90,IF(CD23=1,58,IF(CD23=-1,0,35))))))</f>
        <v>132</v>
      </c>
      <c r="CR23" s="48">
        <f>IF(CD23=5,20,IF(CD23=4,15,IF(CD23=3,12,IF(CD23=2,10,IF(CD23=1,8,IF(CD23=-1,0,5))))))</f>
        <v>12</v>
      </c>
      <c r="CS23" s="48">
        <f>IF(CF23=5,320,IF(CF23=4,195,IF(CF23=3,132,IF(CF23=2,90,IF(CF23=1,58,IF(CF23=-1,0,35))))))</f>
        <v>132</v>
      </c>
      <c r="CT23" s="48">
        <f>IF(CF23=5,20,IF(CF23=4,15,IF(CF23=3,12,IF(CF23=2,10,IF(CF23=1,8,IF(CF23=-1,0,5))))))</f>
        <v>12</v>
      </c>
      <c r="CU23" s="48">
        <f>IF(CH23=5,320,IF(CH23=4,195,IF(CH23=3,132,IF(CH23=2,90,IF(CH23=1,58,IF(CH23=-1,0,35))))))</f>
        <v>0</v>
      </c>
      <c r="CV23" s="48">
        <f>IF(CH23=5,20,IF(CH23=4,15,IF(CH23=3,12,IF(CH23=2,10,IF(CH23=1,8,IF(CH23=-1,0,5))))))</f>
        <v>0</v>
      </c>
      <c r="CW23" s="48">
        <f>IF(BY23&gt;10,(BY23/10)-ROUNDDOWN(BY23/10,0),0)+IF(CA23&gt;10,(CA23/10)-ROUNDDOWN(CA23/10,0),0)+IF(CC23&gt;10,(CC23/10)-ROUNDDOWN(CC23/10,0),0)+IF(CE23&gt;10,(CE23/10)-ROUNDDOWN(CE23/10,0),0)+IF(CG23&gt;10,(CG23/10)-ROUNDDOWN(CG23/10,0),0)+IF(CI23&gt;10,(CI23/10)-ROUNDDOWN(CI23/10,0),0)</f>
        <v>0</v>
      </c>
      <c r="CX23" s="48">
        <f>1+(CW23/10)</f>
        <v>1</v>
      </c>
    </row>
    <row r="24" ht="20.05" customHeight="1">
      <c r="A24" t="s" s="43">
        <v>294</v>
      </c>
      <c r="B24" s="49"/>
      <c r="C24" t="s" s="45">
        <v>73</v>
      </c>
      <c r="D24" s="13">
        <v>3</v>
      </c>
      <c r="E24" t="s" s="15">
        <v>240</v>
      </c>
      <c r="F24" t="s" s="15">
        <v>241</v>
      </c>
      <c r="G24" t="s" s="15">
        <v>282</v>
      </c>
      <c r="H24" s="12">
        <v>3</v>
      </c>
      <c r="I24" t="s" s="15">
        <v>235</v>
      </c>
      <c r="J24" s="12">
        <v>100</v>
      </c>
      <c r="K24" t="s" s="14">
        <v>242</v>
      </c>
      <c r="L24" t="s" s="15">
        <v>237</v>
      </c>
      <c r="M24" t="s" s="15">
        <v>19</v>
      </c>
      <c r="N24" s="46">
        <f>ROUND((SUM(AA24,T24:Y24,AC24:AE24,Z24*10)-AB24*15)*(IF(K24="Heavy",0.15,IF(K24="Medium",0,IF(K24="Light",-0.15,10)))+1),0)</f>
        <v>1014</v>
      </c>
      <c r="O24" s="46">
        <v>3841</v>
      </c>
      <c r="P24" s="46">
        <f>ROUNDDOWN((BI24+AU24+AG24)/5,0)+(BJ24+AV24+AH24)+(BN24+AZ24+AL24)+(BO24+BA24+AM24)+(BK24+AW24+AI24)+(BS24+BE24+AQ24)+(BL24+AX24+AJ24)+(BQ24+BC24+AO24)+(2*((BT24+BF24+AR24)+(BU24+BG24+AS24)))+(CK24+CM24+CO24+CQ24+CS24+CU24)+(CL24*BY24)+(CN24*CA24)+(CP24+CC24)+(CR24+CE24)+(CT24+CG24)+(CV24+CI24)+BV24</f>
        <v>3862</v>
      </c>
      <c r="Q24" s="46">
        <f>ROUNDDOWN(((S24/5)+T24+X24+Y24+U24+AC24+V24+AA24+(2*(AD24+AE24))+CK24+CM24+CO24+CQ24+CS24+CU24+(CL24*BX24)+(CN24*BZ24)+(CP24*CB24)+(CR24*CD24)+(CT24*CF24)+(CV24*CH24))*CX24,0)</f>
        <v>3405</v>
      </c>
      <c r="R24" s="46">
        <f>ROUNDDOWN(AVERAGE(P24:Q24),0)</f>
        <v>3633</v>
      </c>
      <c r="S24" s="12">
        <f>AG24+AU24+BI24</f>
        <v>5020</v>
      </c>
      <c r="T24" s="12">
        <f>AH24+AV24+BJ24</f>
        <v>0</v>
      </c>
      <c r="U24" s="12">
        <f>AI24+AW24+BK24</f>
        <v>318</v>
      </c>
      <c r="V24" s="12">
        <f>AJ24+AX24+BL24</f>
        <v>0</v>
      </c>
      <c r="W24" s="12">
        <f>AK24+AY24+BM24</f>
        <v>36</v>
      </c>
      <c r="X24" s="12">
        <f>AL24+AZ24+BN24</f>
        <v>0</v>
      </c>
      <c r="Y24" s="12">
        <f>AM24+BA24+BO24</f>
        <v>559</v>
      </c>
      <c r="Z24" s="12">
        <f>AN24+BB24+BP24</f>
        <v>0</v>
      </c>
      <c r="AA24" s="12">
        <f>AO24+BC24+BQ24</f>
        <v>34</v>
      </c>
      <c r="AB24" s="12">
        <f>AP24+BD24+BR24</f>
        <v>12</v>
      </c>
      <c r="AC24" s="12">
        <f>AQ24+BE24+BS24</f>
        <v>99</v>
      </c>
      <c r="AD24" s="12">
        <f>AR24+BF24+BT24</f>
        <v>75</v>
      </c>
      <c r="AE24" s="12">
        <f>AS24+BG24+BU24</f>
        <v>73</v>
      </c>
      <c r="AF24" s="28"/>
      <c r="AG24" s="12">
        <v>96</v>
      </c>
      <c r="AH24" s="12">
        <v>0</v>
      </c>
      <c r="AI24" s="12">
        <v>0</v>
      </c>
      <c r="AJ24" s="12">
        <v>0</v>
      </c>
      <c r="AK24" s="12">
        <v>0</v>
      </c>
      <c r="AL24" s="12">
        <v>0</v>
      </c>
      <c r="AM24" s="12">
        <v>238</v>
      </c>
      <c r="AN24" s="12">
        <v>0</v>
      </c>
      <c r="AO24" s="12">
        <v>0</v>
      </c>
      <c r="AP24" s="12">
        <v>0</v>
      </c>
      <c r="AQ24" s="12">
        <v>0</v>
      </c>
      <c r="AR24" s="12">
        <v>19</v>
      </c>
      <c r="AS24" s="12">
        <v>0</v>
      </c>
      <c r="AT24" s="28"/>
      <c r="AU24" s="12">
        <f>IF($H24=3,IF(OR($F24="DDV",$F24="DDG",$F24="DD"),'Fleet Tech - Tech'!B$3,IF($F24="CL",'Fleet Tech - Tech'!B$4,IF($F24="CA",'Fleet Tech - Tech'!B$5,IF($F24="BC",'Fleet Tech - Tech'!B$6,IF($F24="BB",'Fleet Tech - Tech'!B$7,IF($F24="CVL",'Fleet Tech - Tech'!B$8,IF($F24="CV",'Fleet Tech - Tech'!B$9,IF($F24="SS",'Fleet Tech - Tech'!B$10,IF($F24="BBV",'Fleet Tech - Tech'!B$11,IF($F24="CB",'Fleet Tech - Tech'!B$15,IF($F24="AE",'Fleet Tech - Tech'!B$16,IF($F24="IX",'Fleet Tech - Tech'!B$17,IF($F24="BM",'Fleet Tech - Tech'!B$13,IF($F24="AR",'Fleet Tech - Tech'!B$12,IF($F24="SSV",'Fleet Tech - Tech'!B$14,"nil"))))))))))))))),0)</f>
        <v>45</v>
      </c>
      <c r="AV24" s="12">
        <f>IF($H24=3,IF(OR($F24="DDV",$F24="DDG",$F24="DD"),'Fleet Tech - Tech'!C$3,IF($F24="CL",'Fleet Tech - Tech'!C$4,IF($F24="CA",'Fleet Tech - Tech'!C$5,IF($F24="BC",'Fleet Tech - Tech'!C$6,IF($F24="BB",'Fleet Tech - Tech'!C$7,IF($F24="CVL",'Fleet Tech - Tech'!C$8,IF($F24="CV",'Fleet Tech - Tech'!C$9,IF($F24="SS",'Fleet Tech - Tech'!C$10,IF($F24="BBV",'Fleet Tech - Tech'!C$11,IF($F24="CB",'Fleet Tech - Tech'!C$15,IF($F24="AE",'Fleet Tech - Tech'!C$16,IF($F24="IX",'Fleet Tech - Tech'!C$17,IF($F24="BM",'Fleet Tech - Tech'!C$13,IF($F24="AR",'Fleet Tech - Tech'!C$12,IF($F24="SSV",'Fleet Tech - Tech'!C$14,"nil"))))))))))))))),0)</f>
        <v>0</v>
      </c>
      <c r="AW24" s="12">
        <f>IF($H24=3,IF(OR($F24="DDV",$F24="DDG",$F24="DD"),'Fleet Tech - Tech'!D$3,IF($F24="CL",'Fleet Tech - Tech'!D$4,IF($F24="CA",'Fleet Tech - Tech'!D$5,IF($F24="BC",'Fleet Tech - Tech'!D$6,IF($F24="BB",'Fleet Tech - Tech'!D$7,IF($F24="CVL",'Fleet Tech - Tech'!D$8,IF($F24="CV",'Fleet Tech - Tech'!D$9,IF($F24="SS",'Fleet Tech - Tech'!D$10,IF($F24="BBV",'Fleet Tech - Tech'!D$11,IF($F24="CB",'Fleet Tech - Tech'!D$15,IF($F24="AE",'Fleet Tech - Tech'!D$16,IF($F24="IX",'Fleet Tech - Tech'!D$17,IF($F24="BM",'Fleet Tech - Tech'!D$13,IF($F24="AR",'Fleet Tech - Tech'!D$12,IF($F24="SSV",'Fleet Tech - Tech'!D$14,"nil"))))))))))))))),0)</f>
        <v>0</v>
      </c>
      <c r="AX24" s="12">
        <f>IF($H24=3,IF(OR($F24="DDV",$F24="DDG",$F24="DD"),'Fleet Tech - Tech'!E$3,IF($F24="CL",'Fleet Tech - Tech'!E$4,IF($F24="CA",'Fleet Tech - Tech'!E$5,IF($F24="BC",'Fleet Tech - Tech'!E$6,IF($F24="BB",'Fleet Tech - Tech'!E$7,IF($F24="CVL",'Fleet Tech - Tech'!E$8,IF($F24="CV",'Fleet Tech - Tech'!E$9,IF($F24="SS",'Fleet Tech - Tech'!E$10,IF($F24="BBV",'Fleet Tech - Tech'!E$11,IF($F24="CB",'Fleet Tech - Tech'!E$15,IF($F24="AE",'Fleet Tech - Tech'!E$16,IF($F24="IX",'Fleet Tech - Tech'!E$17,IF($F24="BM",'Fleet Tech - Tech'!E$13,IF($F24="AR",'Fleet Tech - Tech'!E$12,IF($F24="SSV",'Fleet Tech - Tech'!E$14,"nil"))))))))))))))),0)</f>
        <v>0</v>
      </c>
      <c r="AY24" s="12">
        <f>IF($H24=3,IF(OR($F24="DDV",$F24="DDG",$F24="DD"),'Fleet Tech - Tech'!F$3,IF($F24="CL",'Fleet Tech - Tech'!F$4,IF($F24="CA",'Fleet Tech - Tech'!F$5,IF($F24="BC",'Fleet Tech - Tech'!F$6,IF($F24="BB",'Fleet Tech - Tech'!F$7,IF($F24="CVL",'Fleet Tech - Tech'!F$8,IF($F24="CV",'Fleet Tech - Tech'!F$9,IF($F24="SS",'Fleet Tech - Tech'!F$10,IF($F24="BBV",'Fleet Tech - Tech'!F$11,IF($F24="CB",'Fleet Tech - Tech'!F$15,IF($F24="AE",'Fleet Tech - Tech'!F$16,IF($F24="IX",'Fleet Tech - Tech'!F$17,IF($F24="BM",'Fleet Tech - Tech'!F$13,IF($F24="AR",'Fleet Tech - Tech'!F$12,IF($F24="SSV",'Fleet Tech - Tech'!F$14,"nil"))))))))))))))),0)</f>
        <v>0</v>
      </c>
      <c r="AZ24" s="12">
        <f>IF($H24=3,IF(OR($F24="DDV",$F24="DDG",$F24="DD"),'Fleet Tech - Tech'!G$3,IF($F24="CL",'Fleet Tech - Tech'!G$4,IF($F24="CA",'Fleet Tech - Tech'!G$5,IF($F24="BC",'Fleet Tech - Tech'!G$6,IF($F24="BB",'Fleet Tech - Tech'!G$7,IF($F24="CVL",'Fleet Tech - Tech'!G$8,IF($F24="CV",'Fleet Tech - Tech'!G$9,IF($F24="SS",'Fleet Tech - Tech'!G$10,IF($F24="BBV",'Fleet Tech - Tech'!G$11,IF($F24="CB",'Fleet Tech - Tech'!G$15,IF($F24="AE",'Fleet Tech - Tech'!G$16,IF($F24="IX",'Fleet Tech - Tech'!G$17,IF($F24="BM",'Fleet Tech - Tech'!G$13,IF($F24="AR",'Fleet Tech - Tech'!G$12,IF($F24="SSV",'Fleet Tech - Tech'!G$14,"nil"))))))))))))))),0)</f>
        <v>0</v>
      </c>
      <c r="BA24" s="12">
        <f>IF($H24=3,IF(OR($F24="DDV",$F24="DDG",$F24="DD"),'Fleet Tech - Tech'!H$3,IF($F24="CL",'Fleet Tech - Tech'!H$4,IF($F24="CA",'Fleet Tech - Tech'!H$5,IF($F24="BC",'Fleet Tech - Tech'!H$6,IF($F24="BB",'Fleet Tech - Tech'!H$7,IF($F24="CVL",'Fleet Tech - Tech'!H$8,IF($F24="CV",'Fleet Tech - Tech'!H$9,IF($F24="SS",'Fleet Tech - Tech'!H$10,IF($F24="BBV",'Fleet Tech - Tech'!H$11,IF($F24="CB",'Fleet Tech - Tech'!H$15,IF($F24="AE",'Fleet Tech - Tech'!H$16,IF($F24="IX",'Fleet Tech - Tech'!H$17,IF($F24="BM",'Fleet Tech - Tech'!H$13,IF($F24="AR",'Fleet Tech - Tech'!H$12,IF($F24="SSV",'Fleet Tech - Tech'!H$14,"nil"))))))))))))))),0)</f>
        <v>10</v>
      </c>
      <c r="BB24" s="12">
        <f>IF($H24=3,IF(OR($F24="DDV",$F24="DDG",$F24="DD"),'Fleet Tech - Tech'!I$3,IF($F24="CL",'Fleet Tech - Tech'!I$4,IF($F24="CA",'Fleet Tech - Tech'!I$5,IF($F24="BC",'Fleet Tech - Tech'!I$6,IF($F24="BB",'Fleet Tech - Tech'!I$7,IF($F24="CVL",'Fleet Tech - Tech'!I$8,IF($F24="CV",'Fleet Tech - Tech'!I$9,IF($F24="SS",'Fleet Tech - Tech'!I$10,IF($F24="BBV",'Fleet Tech - Tech'!I$11,IF($F24="CB",'Fleet Tech - Tech'!I$15,IF($F24="AE",'Fleet Tech - Tech'!I$16,IF($F24="IX",'Fleet Tech - Tech'!I$17,IF($F24="BM",'Fleet Tech - Tech'!I$13,IF($F24="AR",'Fleet Tech - Tech'!I$12,IF($F24="SSV",'Fleet Tech - Tech'!I$14,"nil"))))))))))))))),0)</f>
        <v>0</v>
      </c>
      <c r="BC24" s="12">
        <f>IF($H24=3,IF(OR($F24="DDV",$F24="DDG",$F24="DD"),'Fleet Tech - Tech'!J$3,IF($F24="CL",'Fleet Tech - Tech'!J$4,IF($F24="CA",'Fleet Tech - Tech'!J$5,IF($F24="BC",'Fleet Tech - Tech'!J$6,IF($F24="BB",'Fleet Tech - Tech'!J$7,IF($F24="CVL",'Fleet Tech - Tech'!J$8,IF($F24="CV",'Fleet Tech - Tech'!J$9,IF($F24="SS",'Fleet Tech - Tech'!J$10,IF($F24="BBV",'Fleet Tech - Tech'!J$11,IF($F24="CB",'Fleet Tech - Tech'!J$15,IF($F24="AE",'Fleet Tech - Tech'!J$16,IF($F24="IX",'Fleet Tech - Tech'!J$17,IF($F24="BM",'Fleet Tech - Tech'!J$13,IF($F24="AR",'Fleet Tech - Tech'!J$12,IF($F24="SSV",'Fleet Tech - Tech'!J$14,"nil"))))))))))))))),0)</f>
        <v>0</v>
      </c>
      <c r="BD24" s="12">
        <f>IF($H24=3,IF(OR($F24="DDV",$F24="DDG",$F24="DD"),'Fleet Tech - Tech'!K$3,IF($F24="CL",'Fleet Tech - Tech'!K$4,IF($F24="CA",'Fleet Tech - Tech'!K$5,IF($F24="BC",'Fleet Tech - Tech'!K$6,IF($F24="BB",'Fleet Tech - Tech'!K$7,IF($F24="CVL",'Fleet Tech - Tech'!K$8,IF($F24="CV",'Fleet Tech - Tech'!K$9,IF($F24="SS",'Fleet Tech - Tech'!K$10,IF($F24="BBV",'Fleet Tech - Tech'!K$11,IF($F24="CB",'Fleet Tech - Tech'!K$15,IF($F24="AE",'Fleet Tech - Tech'!K$16,IF($F24="IX",'Fleet Tech - Tech'!K$17,IF($F24="BM",'Fleet Tech - Tech'!K$13,IF($F24="AR",'Fleet Tech - Tech'!K$12,IF($F24="SSV",'Fleet Tech - Tech'!K$14,"nil"))))))))))))))),0)</f>
        <v>0</v>
      </c>
      <c r="BE24" s="12">
        <f>IF($H24=3,IF(OR($F24="DDV",$F24="DDG",$F24="DD"),'Fleet Tech - Tech'!L$3,IF($F24="CL",'Fleet Tech - Tech'!L$4,IF($F24="CA",'Fleet Tech - Tech'!L$5,IF($F24="BC",'Fleet Tech - Tech'!L$6,IF($F24="BB",'Fleet Tech - Tech'!L$7,IF($F24="CVL",'Fleet Tech - Tech'!L$8,IF($F24="CV",'Fleet Tech - Tech'!L$9,IF($F24="SS",'Fleet Tech - Tech'!L$10,IF($F24="BBV",'Fleet Tech - Tech'!L$11,IF($F24="CB",'Fleet Tech - Tech'!L$15,IF($F24="AE",'Fleet Tech - Tech'!L$16,IF($F24="IX",'Fleet Tech - Tech'!L$17,IF($F24="BM",'Fleet Tech - Tech'!L$13,IF($F24="AR",'Fleet Tech - Tech'!L$12,IF($F24="SSV",'Fleet Tech - Tech'!L$14,"nil"))))))))))))))),0)</f>
        <v>4</v>
      </c>
      <c r="BF24" s="12">
        <f>IF($H24=3,IF(OR($F24="DDV",$F24="DDG",$F24="DD"),'Fleet Tech - Tech'!M$3,IF($F24="CL",'Fleet Tech - Tech'!M$4,IF($F24="CA",'Fleet Tech - Tech'!M$5,IF($F24="BC",'Fleet Tech - Tech'!M$6,IF($F24="BB",'Fleet Tech - Tech'!M$7,IF($F24="CVL",'Fleet Tech - Tech'!M$8,IF($F24="CV",'Fleet Tech - Tech'!M$9,IF($F24="SS",'Fleet Tech - Tech'!M$10,IF($F24="BBV",'Fleet Tech - Tech'!M$11,IF($F24="CB",'Fleet Tech - Tech'!M$15,IF($F24="AE",'Fleet Tech - Tech'!M$16,IF($F24="IX",'Fleet Tech - Tech'!M$17,IF($F24="BM",'Fleet Tech - Tech'!M$13,IF($F24="AR",'Fleet Tech - Tech'!M$12,IF($F24="SSV",'Fleet Tech - Tech'!M$14,"nil"))))))))))))))),0)</f>
        <v>0</v>
      </c>
      <c r="BG24" s="12">
        <f>IF($H24=3,IF(OR($F24="DDV",$F24="DDG",$F24="DD"),'Fleet Tech - Tech'!N$3,IF($F24="CL",'Fleet Tech - Tech'!N$4,IF($F24="CA",'Fleet Tech - Tech'!N$5,IF($F24="BC",'Fleet Tech - Tech'!N$6,IF($F24="BB",'Fleet Tech - Tech'!N$7,IF($F24="CVL",'Fleet Tech - Tech'!N$8,IF($F24="CV",'Fleet Tech - Tech'!N$9,IF($F24="SS",'Fleet Tech - Tech'!N$10,IF($F24="BBV",'Fleet Tech - Tech'!N$11,IF($F24="CB",'Fleet Tech - Tech'!N$15,IF($F24="AE",'Fleet Tech - Tech'!N$16,IF($F24="IX",'Fleet Tech - Tech'!N$17,IF($F24="BM",'Fleet Tech - Tech'!N$13,IF($F24="AR",'Fleet Tech - Tech'!N$12,IF($F24="SSV",'Fleet Tech - Tech'!N$14,"nil"))))))))))))))),0)</f>
        <v>2</v>
      </c>
      <c r="BH24" s="28"/>
      <c r="BI24" s="12">
        <v>4879</v>
      </c>
      <c r="BJ24" s="12">
        <v>0</v>
      </c>
      <c r="BK24" s="12">
        <v>318</v>
      </c>
      <c r="BL24" s="12">
        <v>0</v>
      </c>
      <c r="BM24" s="12">
        <v>36</v>
      </c>
      <c r="BN24" s="12">
        <v>0</v>
      </c>
      <c r="BO24" s="12">
        <v>311</v>
      </c>
      <c r="BP24" s="12">
        <v>0</v>
      </c>
      <c r="BQ24" s="12">
        <v>34</v>
      </c>
      <c r="BR24" s="12">
        <v>12</v>
      </c>
      <c r="BS24" s="12">
        <v>95</v>
      </c>
      <c r="BT24" s="12">
        <v>56</v>
      </c>
      <c r="BU24" s="12">
        <v>71</v>
      </c>
      <c r="BV24" s="12">
        <v>345</v>
      </c>
      <c r="BW24" s="28"/>
      <c r="BX24" s="12">
        <v>4</v>
      </c>
      <c r="BY24" s="12">
        <v>10</v>
      </c>
      <c r="BZ24" s="12">
        <v>3</v>
      </c>
      <c r="CA24" s="12">
        <v>10</v>
      </c>
      <c r="CB24" s="12">
        <v>3</v>
      </c>
      <c r="CC24" s="12">
        <v>10</v>
      </c>
      <c r="CD24" s="12">
        <v>3</v>
      </c>
      <c r="CE24" s="12">
        <v>8</v>
      </c>
      <c r="CF24" s="12">
        <v>3</v>
      </c>
      <c r="CG24" s="12">
        <v>6</v>
      </c>
      <c r="CH24" s="12">
        <v>3</v>
      </c>
      <c r="CI24" s="12">
        <v>10</v>
      </c>
      <c r="CJ24" s="47"/>
      <c r="CK24" s="48">
        <f>IF(BX24=5,320,IF(BX24=4,195,IF(BX24=3,132,IF(BX24=2,90,IF(BX24=1,58,IF(BX24=-1,0,35))))))</f>
        <v>195</v>
      </c>
      <c r="CL24" s="48">
        <f>IF(BX24=5,20,IF(BX24=4,15,IF(BX24=3,12,IF(BX24=2,10,IF(BX24=1,8,IF(BX24=-1,0,5))))))</f>
        <v>15</v>
      </c>
      <c r="CM24" s="48">
        <f>IF(BZ24=5,320,IF(BZ24=4,195,IF(BZ24=3,132,IF(BZ24=2,90,IF(BZ24=1,58,IF(BZ24=-1,0,35))))))</f>
        <v>132</v>
      </c>
      <c r="CN24" s="48">
        <f>IF(BZ24=5,20,IF(BZ24=4,15,IF(BZ24=3,12,IF(BZ24=2,10,IF(BZ24=1,8,IF(BZ24=-1,0,5))))))</f>
        <v>12</v>
      </c>
      <c r="CO24" s="48">
        <f>IF(CB24=5,320,IF(CB24=4,195,IF(CB24=3,132,IF(CB24=2,90,IF(CB24=1,58,IF(CB24=-1,0,35))))))</f>
        <v>132</v>
      </c>
      <c r="CP24" s="48">
        <f>IF(CB24=5,20,IF(CB24=4,15,IF(CB24=3,12,IF(CB24=2,10,IF(CB24=1,8,IF(CB24=-1,0,5))))))</f>
        <v>12</v>
      </c>
      <c r="CQ24" s="48">
        <f>IF(CD24=5,320,IF(CD24=4,195,IF(CD24=3,132,IF(CD24=2,90,IF(CD24=1,58,IF(CD24=-1,0,35))))))</f>
        <v>132</v>
      </c>
      <c r="CR24" s="48">
        <f>IF(CD24=5,20,IF(CD24=4,15,IF(CD24=3,12,IF(CD24=2,10,IF(CD24=1,8,IF(CD24=-1,0,5))))))</f>
        <v>12</v>
      </c>
      <c r="CS24" s="48">
        <f>IF(CF24=5,320,IF(CF24=4,195,IF(CF24=3,132,IF(CF24=2,90,IF(CF24=1,58,IF(CF24=-1,0,35))))))</f>
        <v>132</v>
      </c>
      <c r="CT24" s="48">
        <f>IF(CF24=5,20,IF(CF24=4,15,IF(CF24=3,12,IF(CF24=2,10,IF(CF24=1,8,IF(CF24=-1,0,5))))))</f>
        <v>12</v>
      </c>
      <c r="CU24" s="48">
        <f>IF(CH24=5,320,IF(CH24=4,195,IF(CH24=3,132,IF(CH24=2,90,IF(CH24=1,58,IF(CH24=-1,0,35))))))</f>
        <v>132</v>
      </c>
      <c r="CV24" s="48">
        <f>IF(CH24=5,20,IF(CH24=4,15,IF(CH24=3,12,IF(CH24=2,10,IF(CH24=1,8,IF(CH24=-1,0,5))))))</f>
        <v>12</v>
      </c>
      <c r="CW24" s="48">
        <f>IF(BY24&gt;10,(BY24/10)-ROUNDDOWN(BY24/10,0),0)+IF(CA24&gt;10,(CA24/10)-ROUNDDOWN(CA24/10,0),0)+IF(CC24&gt;10,(CC24/10)-ROUNDDOWN(CC24/10,0),0)+IF(CE24&gt;10,(CE24/10)-ROUNDDOWN(CE24/10,0),0)+IF(CG24&gt;10,(CG24/10)-ROUNDDOWN(CG24/10,0),0)+IF(CI24&gt;10,(CI24/10)-ROUNDDOWN(CI24/10,0),0)</f>
        <v>0</v>
      </c>
      <c r="CX24" s="48">
        <f>1+(CW24/10)</f>
        <v>1</v>
      </c>
    </row>
    <row r="25" ht="20.05" customHeight="1">
      <c r="A25" t="s" s="43">
        <v>295</v>
      </c>
      <c r="B25" s="49"/>
      <c r="C25" t="s" s="45">
        <v>73</v>
      </c>
      <c r="D25" s="13">
        <v>3</v>
      </c>
      <c r="E25" t="s" s="15">
        <v>240</v>
      </c>
      <c r="F25" t="s" s="15">
        <v>241</v>
      </c>
      <c r="G25" t="s" s="15">
        <v>282</v>
      </c>
      <c r="H25" s="12">
        <v>3</v>
      </c>
      <c r="I25" t="s" s="15">
        <v>235</v>
      </c>
      <c r="J25" s="12">
        <v>99</v>
      </c>
      <c r="K25" t="s" s="14">
        <v>242</v>
      </c>
      <c r="L25" t="s" s="15">
        <v>237</v>
      </c>
      <c r="M25" t="s" s="15">
        <v>19</v>
      </c>
      <c r="N25" s="46">
        <f>ROUND((SUM(AA25,T25:Y25,AC25:AE25,Z25*10)-AB25*15)*(IF(K25="Heavy",0.15,IF(K25="Medium",0,IF(K25="Light",-0.15,10)))+1),0)</f>
        <v>1099</v>
      </c>
      <c r="O25" s="46">
        <v>4136</v>
      </c>
      <c r="P25" s="46">
        <f>ROUNDDOWN((BI25+AU25+AG25)/5,0)+(BJ25+AV25+AH25)+(BN25+AZ25+AL25)+(BO25+BA25+AM25)+(BK25+AW25+AI25)+(BS25+BE25+AQ25)+(BL25+AX25+AJ25)+(BQ25+BC25+AO25)+(2*((BT25+BF25+AR25)+(BU25+BG25+AS25)))+(CK25+CM25+CO25+CQ25+CS25+CU25)+(CL25*BY25)+(CN25*CA25)+(CP25+CC25)+(CR25+CE25)+(CT25+CG25)+(CV25+CI25)+BV25</f>
        <v>4181</v>
      </c>
      <c r="Q25" s="46">
        <f>ROUNDDOWN(((S25/5)+T25+X25+Y25+U25+AC25+V25+AA25+(2*(AD25+AE25))+CK25+CM25+CO25+CQ25+CS25+CU25+(CL25*BX25)+(CN25*BZ25)+(CP25*CB25)+(CR25*CD25)+(CT25*CF25)+(CV25*CH25))*CX25,0)</f>
        <v>3799</v>
      </c>
      <c r="R25" s="46">
        <f>ROUNDDOWN(AVERAGE(P25:Q25),0)</f>
        <v>3990</v>
      </c>
      <c r="S25" s="12">
        <f>AG25+AU25+BI25</f>
        <v>4821</v>
      </c>
      <c r="T25" s="12">
        <f>AH25+AV25+BJ25</f>
        <v>0</v>
      </c>
      <c r="U25" s="12">
        <f>AI25+AW25+BK25</f>
        <v>319</v>
      </c>
      <c r="V25" s="12">
        <f>AJ25+AX25+BL25</f>
        <v>0</v>
      </c>
      <c r="W25" s="12">
        <f>AK25+AY25+BM25</f>
        <v>36</v>
      </c>
      <c r="X25" s="12">
        <f>AL25+AZ25+BN25</f>
        <v>0</v>
      </c>
      <c r="Y25" s="12">
        <f>AM25+BA25+BO25</f>
        <v>641</v>
      </c>
      <c r="Z25" s="12">
        <f>AN25+BB25+BP25</f>
        <v>0</v>
      </c>
      <c r="AA25" s="12">
        <f>AO25+BC25+BQ25</f>
        <v>34</v>
      </c>
      <c r="AB25" s="12">
        <f>AP25+BD25+BR25</f>
        <v>12</v>
      </c>
      <c r="AC25" s="12">
        <f>AQ25+BE25+BS25</f>
        <v>100</v>
      </c>
      <c r="AD25" s="12">
        <f>AR25+BF25+BT25</f>
        <v>76</v>
      </c>
      <c r="AE25" s="12">
        <f>AS25+BG25+BU25</f>
        <v>73</v>
      </c>
      <c r="AF25" s="28"/>
      <c r="AG25" s="12">
        <v>110</v>
      </c>
      <c r="AH25" s="12">
        <v>0</v>
      </c>
      <c r="AI25" s="12">
        <v>0</v>
      </c>
      <c r="AJ25" s="12">
        <v>0</v>
      </c>
      <c r="AK25" s="12">
        <v>0</v>
      </c>
      <c r="AL25" s="12">
        <v>0</v>
      </c>
      <c r="AM25" s="12">
        <v>313</v>
      </c>
      <c r="AN25" s="12">
        <v>0</v>
      </c>
      <c r="AO25" s="12">
        <v>0</v>
      </c>
      <c r="AP25" s="12">
        <v>0</v>
      </c>
      <c r="AQ25" s="12">
        <v>0</v>
      </c>
      <c r="AR25" s="12">
        <v>20</v>
      </c>
      <c r="AS25" s="12">
        <v>0</v>
      </c>
      <c r="AT25" s="28"/>
      <c r="AU25" s="12">
        <f>IF($H25=3,IF(OR($F25="DDV",$F25="DDG",$F25="DD"),'Fleet Tech - Tech'!B$3,IF($F25="CL",'Fleet Tech - Tech'!B$4,IF($F25="CA",'Fleet Tech - Tech'!B$5,IF($F25="BC",'Fleet Tech - Tech'!B$6,IF($F25="BB",'Fleet Tech - Tech'!B$7,IF($F25="CVL",'Fleet Tech - Tech'!B$8,IF($F25="CV",'Fleet Tech - Tech'!B$9,IF($F25="SS",'Fleet Tech - Tech'!B$10,IF($F25="BBV",'Fleet Tech - Tech'!B$11,IF($F25="CB",'Fleet Tech - Tech'!B$15,IF($F25="AE",'Fleet Tech - Tech'!B$16,IF($F25="IX",'Fleet Tech - Tech'!B$17,IF($F25="BM",'Fleet Tech - Tech'!B$13,IF($F25="AR",'Fleet Tech - Tech'!B$12,IF($F25="SSV",'Fleet Tech - Tech'!B$14,"nil"))))))))))))))),0)</f>
        <v>45</v>
      </c>
      <c r="AV25" s="12">
        <f>IF($H25=3,IF(OR($F25="DDV",$F25="DDG",$F25="DD"),'Fleet Tech - Tech'!C$3,IF($F25="CL",'Fleet Tech - Tech'!C$4,IF($F25="CA",'Fleet Tech - Tech'!C$5,IF($F25="BC",'Fleet Tech - Tech'!C$6,IF($F25="BB",'Fleet Tech - Tech'!C$7,IF($F25="CVL",'Fleet Tech - Tech'!C$8,IF($F25="CV",'Fleet Tech - Tech'!C$9,IF($F25="SS",'Fleet Tech - Tech'!C$10,IF($F25="BBV",'Fleet Tech - Tech'!C$11,IF($F25="CB",'Fleet Tech - Tech'!C$15,IF($F25="AE",'Fleet Tech - Tech'!C$16,IF($F25="IX",'Fleet Tech - Tech'!C$17,IF($F25="BM",'Fleet Tech - Tech'!C$13,IF($F25="AR",'Fleet Tech - Tech'!C$12,IF($F25="SSV",'Fleet Tech - Tech'!C$14,"nil"))))))))))))))),0)</f>
        <v>0</v>
      </c>
      <c r="AW25" s="12">
        <f>IF($H25=3,IF(OR($F25="DDV",$F25="DDG",$F25="DD"),'Fleet Tech - Tech'!D$3,IF($F25="CL",'Fleet Tech - Tech'!D$4,IF($F25="CA",'Fleet Tech - Tech'!D$5,IF($F25="BC",'Fleet Tech - Tech'!D$6,IF($F25="BB",'Fleet Tech - Tech'!D$7,IF($F25="CVL",'Fleet Tech - Tech'!D$8,IF($F25="CV",'Fleet Tech - Tech'!D$9,IF($F25="SS",'Fleet Tech - Tech'!D$10,IF($F25="BBV",'Fleet Tech - Tech'!D$11,IF($F25="CB",'Fleet Tech - Tech'!D$15,IF($F25="AE",'Fleet Tech - Tech'!D$16,IF($F25="IX",'Fleet Tech - Tech'!D$17,IF($F25="BM",'Fleet Tech - Tech'!D$13,IF($F25="AR",'Fleet Tech - Tech'!D$12,IF($F25="SSV",'Fleet Tech - Tech'!D$14,"nil"))))))))))))))),0)</f>
        <v>0</v>
      </c>
      <c r="AX25" s="12">
        <f>IF($H25=3,IF(OR($F25="DDV",$F25="DDG",$F25="DD"),'Fleet Tech - Tech'!E$3,IF($F25="CL",'Fleet Tech - Tech'!E$4,IF($F25="CA",'Fleet Tech - Tech'!E$5,IF($F25="BC",'Fleet Tech - Tech'!E$6,IF($F25="BB",'Fleet Tech - Tech'!E$7,IF($F25="CVL",'Fleet Tech - Tech'!E$8,IF($F25="CV",'Fleet Tech - Tech'!E$9,IF($F25="SS",'Fleet Tech - Tech'!E$10,IF($F25="BBV",'Fleet Tech - Tech'!E$11,IF($F25="CB",'Fleet Tech - Tech'!E$15,IF($F25="AE",'Fleet Tech - Tech'!E$16,IF($F25="IX",'Fleet Tech - Tech'!E$17,IF($F25="BM",'Fleet Tech - Tech'!E$13,IF($F25="AR",'Fleet Tech - Tech'!E$12,IF($F25="SSV",'Fleet Tech - Tech'!E$14,"nil"))))))))))))))),0)</f>
        <v>0</v>
      </c>
      <c r="AY25" s="12">
        <f>IF($H25=3,IF(OR($F25="DDV",$F25="DDG",$F25="DD"),'Fleet Tech - Tech'!F$3,IF($F25="CL",'Fleet Tech - Tech'!F$4,IF($F25="CA",'Fleet Tech - Tech'!F$5,IF($F25="BC",'Fleet Tech - Tech'!F$6,IF($F25="BB",'Fleet Tech - Tech'!F$7,IF($F25="CVL",'Fleet Tech - Tech'!F$8,IF($F25="CV",'Fleet Tech - Tech'!F$9,IF($F25="SS",'Fleet Tech - Tech'!F$10,IF($F25="BBV",'Fleet Tech - Tech'!F$11,IF($F25="CB",'Fleet Tech - Tech'!F$15,IF($F25="AE",'Fleet Tech - Tech'!F$16,IF($F25="IX",'Fleet Tech - Tech'!F$17,IF($F25="BM",'Fleet Tech - Tech'!F$13,IF($F25="AR",'Fleet Tech - Tech'!F$12,IF($F25="SSV",'Fleet Tech - Tech'!F$14,"nil"))))))))))))))),0)</f>
        <v>0</v>
      </c>
      <c r="AZ25" s="12">
        <f>IF($H25=3,IF(OR($F25="DDV",$F25="DDG",$F25="DD"),'Fleet Tech - Tech'!G$3,IF($F25="CL",'Fleet Tech - Tech'!G$4,IF($F25="CA",'Fleet Tech - Tech'!G$5,IF($F25="BC",'Fleet Tech - Tech'!G$6,IF($F25="BB",'Fleet Tech - Tech'!G$7,IF($F25="CVL",'Fleet Tech - Tech'!G$8,IF($F25="CV",'Fleet Tech - Tech'!G$9,IF($F25="SS",'Fleet Tech - Tech'!G$10,IF($F25="BBV",'Fleet Tech - Tech'!G$11,IF($F25="CB",'Fleet Tech - Tech'!G$15,IF($F25="AE",'Fleet Tech - Tech'!G$16,IF($F25="IX",'Fleet Tech - Tech'!G$17,IF($F25="BM",'Fleet Tech - Tech'!G$13,IF($F25="AR",'Fleet Tech - Tech'!G$12,IF($F25="SSV",'Fleet Tech - Tech'!G$14,"nil"))))))))))))))),0)</f>
        <v>0</v>
      </c>
      <c r="BA25" s="12">
        <f>IF($H25=3,IF(OR($F25="DDV",$F25="DDG",$F25="DD"),'Fleet Tech - Tech'!H$3,IF($F25="CL",'Fleet Tech - Tech'!H$4,IF($F25="CA",'Fleet Tech - Tech'!H$5,IF($F25="BC",'Fleet Tech - Tech'!H$6,IF($F25="BB",'Fleet Tech - Tech'!H$7,IF($F25="CVL",'Fleet Tech - Tech'!H$8,IF($F25="CV",'Fleet Tech - Tech'!H$9,IF($F25="SS",'Fleet Tech - Tech'!H$10,IF($F25="BBV",'Fleet Tech - Tech'!H$11,IF($F25="CB",'Fleet Tech - Tech'!H$15,IF($F25="AE",'Fleet Tech - Tech'!H$16,IF($F25="IX",'Fleet Tech - Tech'!H$17,IF($F25="BM",'Fleet Tech - Tech'!H$13,IF($F25="AR",'Fleet Tech - Tech'!H$12,IF($F25="SSV",'Fleet Tech - Tech'!H$14,"nil"))))))))))))))),0)</f>
        <v>10</v>
      </c>
      <c r="BB25" s="12">
        <f>IF($H25=3,IF(OR($F25="DDV",$F25="DDG",$F25="DD"),'Fleet Tech - Tech'!I$3,IF($F25="CL",'Fleet Tech - Tech'!I$4,IF($F25="CA",'Fleet Tech - Tech'!I$5,IF($F25="BC",'Fleet Tech - Tech'!I$6,IF($F25="BB",'Fleet Tech - Tech'!I$7,IF($F25="CVL",'Fleet Tech - Tech'!I$8,IF($F25="CV",'Fleet Tech - Tech'!I$9,IF($F25="SS",'Fleet Tech - Tech'!I$10,IF($F25="BBV",'Fleet Tech - Tech'!I$11,IF($F25="CB",'Fleet Tech - Tech'!I$15,IF($F25="AE",'Fleet Tech - Tech'!I$16,IF($F25="IX",'Fleet Tech - Tech'!I$17,IF($F25="BM",'Fleet Tech - Tech'!I$13,IF($F25="AR",'Fleet Tech - Tech'!I$12,IF($F25="SSV",'Fleet Tech - Tech'!I$14,"nil"))))))))))))))),0)</f>
        <v>0</v>
      </c>
      <c r="BC25" s="12">
        <f>IF($H25=3,IF(OR($F25="DDV",$F25="DDG",$F25="DD"),'Fleet Tech - Tech'!J$3,IF($F25="CL",'Fleet Tech - Tech'!J$4,IF($F25="CA",'Fleet Tech - Tech'!J$5,IF($F25="BC",'Fleet Tech - Tech'!J$6,IF($F25="BB",'Fleet Tech - Tech'!J$7,IF($F25="CVL",'Fleet Tech - Tech'!J$8,IF($F25="CV",'Fleet Tech - Tech'!J$9,IF($F25="SS",'Fleet Tech - Tech'!J$10,IF($F25="BBV",'Fleet Tech - Tech'!J$11,IF($F25="CB",'Fleet Tech - Tech'!J$15,IF($F25="AE",'Fleet Tech - Tech'!J$16,IF($F25="IX",'Fleet Tech - Tech'!J$17,IF($F25="BM",'Fleet Tech - Tech'!J$13,IF($F25="AR",'Fleet Tech - Tech'!J$12,IF($F25="SSV",'Fleet Tech - Tech'!J$14,"nil"))))))))))))))),0)</f>
        <v>0</v>
      </c>
      <c r="BD25" s="12">
        <f>IF($H25=3,IF(OR($F25="DDV",$F25="DDG",$F25="DD"),'Fleet Tech - Tech'!K$3,IF($F25="CL",'Fleet Tech - Tech'!K$4,IF($F25="CA",'Fleet Tech - Tech'!K$5,IF($F25="BC",'Fleet Tech - Tech'!K$6,IF($F25="BB",'Fleet Tech - Tech'!K$7,IF($F25="CVL",'Fleet Tech - Tech'!K$8,IF($F25="CV",'Fleet Tech - Tech'!K$9,IF($F25="SS",'Fleet Tech - Tech'!K$10,IF($F25="BBV",'Fleet Tech - Tech'!K$11,IF($F25="CB",'Fleet Tech - Tech'!K$15,IF($F25="AE",'Fleet Tech - Tech'!K$16,IF($F25="IX",'Fleet Tech - Tech'!K$17,IF($F25="BM",'Fleet Tech - Tech'!K$13,IF($F25="AR",'Fleet Tech - Tech'!K$12,IF($F25="SSV",'Fleet Tech - Tech'!K$14,"nil"))))))))))))))),0)</f>
        <v>0</v>
      </c>
      <c r="BE25" s="12">
        <f>IF($H25=3,IF(OR($F25="DDV",$F25="DDG",$F25="DD"),'Fleet Tech - Tech'!L$3,IF($F25="CL",'Fleet Tech - Tech'!L$4,IF($F25="CA",'Fleet Tech - Tech'!L$5,IF($F25="BC",'Fleet Tech - Tech'!L$6,IF($F25="BB",'Fleet Tech - Tech'!L$7,IF($F25="CVL",'Fleet Tech - Tech'!L$8,IF($F25="CV",'Fleet Tech - Tech'!L$9,IF($F25="SS",'Fleet Tech - Tech'!L$10,IF($F25="BBV",'Fleet Tech - Tech'!L$11,IF($F25="CB",'Fleet Tech - Tech'!L$15,IF($F25="AE",'Fleet Tech - Tech'!L$16,IF($F25="IX",'Fleet Tech - Tech'!L$17,IF($F25="BM",'Fleet Tech - Tech'!L$13,IF($F25="AR",'Fleet Tech - Tech'!L$12,IF($F25="SSV",'Fleet Tech - Tech'!L$14,"nil"))))))))))))))),0)</f>
        <v>4</v>
      </c>
      <c r="BF25" s="12">
        <f>IF($H25=3,IF(OR($F25="DDV",$F25="DDG",$F25="DD"),'Fleet Tech - Tech'!M$3,IF($F25="CL",'Fleet Tech - Tech'!M$4,IF($F25="CA",'Fleet Tech - Tech'!M$5,IF($F25="BC",'Fleet Tech - Tech'!M$6,IF($F25="BB",'Fleet Tech - Tech'!M$7,IF($F25="CVL",'Fleet Tech - Tech'!M$8,IF($F25="CV",'Fleet Tech - Tech'!M$9,IF($F25="SS",'Fleet Tech - Tech'!M$10,IF($F25="BBV",'Fleet Tech - Tech'!M$11,IF($F25="CB",'Fleet Tech - Tech'!M$15,IF($F25="AE",'Fleet Tech - Tech'!M$16,IF($F25="IX",'Fleet Tech - Tech'!M$17,IF($F25="BM",'Fleet Tech - Tech'!M$13,IF($F25="AR",'Fleet Tech - Tech'!M$12,IF($F25="SSV",'Fleet Tech - Tech'!M$14,"nil"))))))))))))))),0)</f>
        <v>0</v>
      </c>
      <c r="BG25" s="12">
        <f>IF($H25=3,IF(OR($F25="DDV",$F25="DDG",$F25="DD"),'Fleet Tech - Tech'!N$3,IF($F25="CL",'Fleet Tech - Tech'!N$4,IF($F25="CA",'Fleet Tech - Tech'!N$5,IF($F25="BC",'Fleet Tech - Tech'!N$6,IF($F25="BB",'Fleet Tech - Tech'!N$7,IF($F25="CVL",'Fleet Tech - Tech'!N$8,IF($F25="CV",'Fleet Tech - Tech'!N$9,IF($F25="SS",'Fleet Tech - Tech'!N$10,IF($F25="BBV",'Fleet Tech - Tech'!N$11,IF($F25="CB",'Fleet Tech - Tech'!N$15,IF($F25="AE",'Fleet Tech - Tech'!N$16,IF($F25="IX",'Fleet Tech - Tech'!N$17,IF($F25="BM",'Fleet Tech - Tech'!N$13,IF($F25="AR",'Fleet Tech - Tech'!N$12,IF($F25="SSV",'Fleet Tech - Tech'!N$14,"nil"))))))))))))))),0)</f>
        <v>2</v>
      </c>
      <c r="BH25" s="28"/>
      <c r="BI25" s="12">
        <v>4666</v>
      </c>
      <c r="BJ25" s="12">
        <v>0</v>
      </c>
      <c r="BK25" s="12">
        <v>319</v>
      </c>
      <c r="BL25" s="12">
        <v>0</v>
      </c>
      <c r="BM25" s="12">
        <v>36</v>
      </c>
      <c r="BN25" s="12">
        <v>0</v>
      </c>
      <c r="BO25" s="12">
        <v>318</v>
      </c>
      <c r="BP25" s="12">
        <v>0</v>
      </c>
      <c r="BQ25" s="12">
        <v>34</v>
      </c>
      <c r="BR25" s="12">
        <v>12</v>
      </c>
      <c r="BS25" s="12">
        <v>96</v>
      </c>
      <c r="BT25" s="12">
        <v>56</v>
      </c>
      <c r="BU25" s="12">
        <v>71</v>
      </c>
      <c r="BV25" s="12">
        <v>345</v>
      </c>
      <c r="BW25" s="28"/>
      <c r="BX25" s="12">
        <v>4</v>
      </c>
      <c r="BY25" s="12">
        <v>10</v>
      </c>
      <c r="BZ25" s="12">
        <v>4</v>
      </c>
      <c r="CA25" s="12">
        <v>9</v>
      </c>
      <c r="CB25" s="12">
        <v>4</v>
      </c>
      <c r="CC25" s="12">
        <v>6</v>
      </c>
      <c r="CD25" s="12">
        <v>4</v>
      </c>
      <c r="CE25" s="12">
        <v>6</v>
      </c>
      <c r="CF25" s="12">
        <v>4</v>
      </c>
      <c r="CG25" s="12">
        <v>9</v>
      </c>
      <c r="CH25" s="12">
        <v>3</v>
      </c>
      <c r="CI25" s="12">
        <v>10</v>
      </c>
      <c r="CJ25" s="47"/>
      <c r="CK25" s="48">
        <f>IF(BX25=5,320,IF(BX25=4,195,IF(BX25=3,132,IF(BX25=2,90,IF(BX25=1,58,IF(BX25=-1,0,35))))))</f>
        <v>195</v>
      </c>
      <c r="CL25" s="48">
        <f>IF(BX25=5,20,IF(BX25=4,15,IF(BX25=3,12,IF(BX25=2,10,IF(BX25=1,8,IF(BX25=-1,0,5))))))</f>
        <v>15</v>
      </c>
      <c r="CM25" s="48">
        <f>IF(BZ25=5,320,IF(BZ25=4,195,IF(BZ25=3,132,IF(BZ25=2,90,IF(BZ25=1,58,IF(BZ25=-1,0,35))))))</f>
        <v>195</v>
      </c>
      <c r="CN25" s="48">
        <f>IF(BZ25=5,20,IF(BZ25=4,15,IF(BZ25=3,12,IF(BZ25=2,10,IF(BZ25=1,8,IF(BZ25=-1,0,5))))))</f>
        <v>15</v>
      </c>
      <c r="CO25" s="48">
        <f>IF(CB25=5,320,IF(CB25=4,195,IF(CB25=3,132,IF(CB25=2,90,IF(CB25=1,58,IF(CB25=-1,0,35))))))</f>
        <v>195</v>
      </c>
      <c r="CP25" s="48">
        <f>IF(CB25=5,20,IF(CB25=4,15,IF(CB25=3,12,IF(CB25=2,10,IF(CB25=1,8,IF(CB25=-1,0,5))))))</f>
        <v>15</v>
      </c>
      <c r="CQ25" s="48">
        <f>IF(CD25=5,320,IF(CD25=4,195,IF(CD25=3,132,IF(CD25=2,90,IF(CD25=1,58,IF(CD25=-1,0,35))))))</f>
        <v>195</v>
      </c>
      <c r="CR25" s="48">
        <f>IF(CD25=5,20,IF(CD25=4,15,IF(CD25=3,12,IF(CD25=2,10,IF(CD25=1,8,IF(CD25=-1,0,5))))))</f>
        <v>15</v>
      </c>
      <c r="CS25" s="48">
        <f>IF(CF25=5,320,IF(CF25=4,195,IF(CF25=3,132,IF(CF25=2,90,IF(CF25=1,58,IF(CF25=-1,0,35))))))</f>
        <v>195</v>
      </c>
      <c r="CT25" s="48">
        <f>IF(CF25=5,20,IF(CF25=4,15,IF(CF25=3,12,IF(CF25=2,10,IF(CF25=1,8,IF(CF25=-1,0,5))))))</f>
        <v>15</v>
      </c>
      <c r="CU25" s="48">
        <f>IF(CH25=5,320,IF(CH25=4,195,IF(CH25=3,132,IF(CH25=2,90,IF(CH25=1,58,IF(CH25=-1,0,35))))))</f>
        <v>132</v>
      </c>
      <c r="CV25" s="48">
        <f>IF(CH25=5,20,IF(CH25=4,15,IF(CH25=3,12,IF(CH25=2,10,IF(CH25=1,8,IF(CH25=-1,0,5))))))</f>
        <v>12</v>
      </c>
      <c r="CW25" s="48">
        <f>IF(BY25&gt;10,(BY25/10)-ROUNDDOWN(BY25/10,0),0)+IF(CA25&gt;10,(CA25/10)-ROUNDDOWN(CA25/10,0),0)+IF(CC25&gt;10,(CC25/10)-ROUNDDOWN(CC25/10,0),0)+IF(CE25&gt;10,(CE25/10)-ROUNDDOWN(CE25/10,0),0)+IF(CG25&gt;10,(CG25/10)-ROUNDDOWN(CG25/10,0),0)+IF(CI25&gt;10,(CI25/10)-ROUNDDOWN(CI25/10,0),0)</f>
        <v>0</v>
      </c>
      <c r="CX25" s="48">
        <f>1+(CW25/10)</f>
        <v>1</v>
      </c>
    </row>
    <row r="26" ht="20.05" customHeight="1">
      <c r="A26" t="s" s="43">
        <v>296</v>
      </c>
      <c r="B26" s="49"/>
      <c r="C26" t="s" s="45">
        <v>73</v>
      </c>
      <c r="D26" s="13">
        <v>4</v>
      </c>
      <c r="E26" t="s" s="15">
        <v>240</v>
      </c>
      <c r="F26" t="s" s="15">
        <v>297</v>
      </c>
      <c r="G26" t="s" s="15">
        <v>282</v>
      </c>
      <c r="H26" s="12">
        <v>2</v>
      </c>
      <c r="I26" t="s" s="15">
        <v>277</v>
      </c>
      <c r="J26" s="12">
        <v>54</v>
      </c>
      <c r="K26" t="s" s="14">
        <v>242</v>
      </c>
      <c r="L26" t="s" s="15">
        <v>237</v>
      </c>
      <c r="M26" t="s" s="15">
        <v>19</v>
      </c>
      <c r="N26" s="46">
        <f>ROUND((SUM(AA26,T26:Y26,AC26:AE26,Z26*10)-AB26*15)*(IF(K26="Heavy",0.15,IF(K26="Medium",0,IF(K26="Light",-0.15,10)))+1),0)</f>
        <v>518</v>
      </c>
      <c r="O26" s="46">
        <v>1209</v>
      </c>
      <c r="P26" s="46">
        <f>ROUNDDOWN((BI26+AU26+AG26)/5,0)+(BJ26+AV26+AH26)+(BN26+AZ26+AL26)+(BO26+BA26+AM26)+(BK26+AW26+AI26)+(BS26+BE26+AQ26)+(BL26+AX26+AJ26)+(BQ26+BC26+AO26)+(2*((BT26+BF26+AR26)+(BU26+BG26+AS26)))+(CK26+CM26+CO26+CQ26+CS26+CU26)+(CL26*BY26)+(CN26*CA26)+(CP26+CC26)+(CR26+CE26)+(CT26+CG26)+(CV26+CI26)+BV26</f>
        <v>1540</v>
      </c>
      <c r="Q26" s="46">
        <f>ROUNDDOWN(((S26/5)+T26+X26+Y26+U26+AC26+V26+AA26+(2*(AD26+AE26))+CK26+CM26+CO26+CQ26+CS26+CU26+(CL26*BX26)+(CN26*BZ26)+(CP26*CB26)+(CR26*CD26)+(CT26*CF26)+(CV26*CH26))*CX26,0)</f>
        <v>1217</v>
      </c>
      <c r="R26" s="46">
        <f>ROUNDDOWN(AVERAGE(P26:Q26),0)</f>
        <v>1378</v>
      </c>
      <c r="S26" s="12">
        <f>AG26+AU26+BI26</f>
        <v>2309</v>
      </c>
      <c r="T26" s="12">
        <f>AH26+AV26+BJ26</f>
        <v>0</v>
      </c>
      <c r="U26" s="12">
        <f>AI26+AW26+BK26</f>
        <v>141</v>
      </c>
      <c r="V26" s="12">
        <f>AJ26+AX26+BL26</f>
        <v>52</v>
      </c>
      <c r="W26" s="12">
        <f>AK26+AY26+BM26</f>
        <v>57</v>
      </c>
      <c r="X26" s="12">
        <f>AL26+AZ26+BN26</f>
        <v>0</v>
      </c>
      <c r="Y26" s="12">
        <f>AM26+BA26+BO26</f>
        <v>162</v>
      </c>
      <c r="Z26" s="12">
        <f>AN26+BB26+BP26</f>
        <v>0</v>
      </c>
      <c r="AA26" s="12">
        <f>AO26+BC26+BQ26</f>
        <v>29</v>
      </c>
      <c r="AB26" s="12">
        <f>AP26+BD26+BR26</f>
        <v>7</v>
      </c>
      <c r="AC26" s="12">
        <f>AQ26+BE26+BS26</f>
        <v>93</v>
      </c>
      <c r="AD26" s="12">
        <f>AR26+BF26+BT26</f>
        <v>41</v>
      </c>
      <c r="AE26" s="12">
        <f>AS26+BG26+BU26</f>
        <v>48</v>
      </c>
      <c r="AF26" s="28"/>
      <c r="AG26" s="12">
        <v>0</v>
      </c>
      <c r="AH26" s="12">
        <v>0</v>
      </c>
      <c r="AI26" s="12">
        <v>0</v>
      </c>
      <c r="AJ26" s="12">
        <v>0</v>
      </c>
      <c r="AK26" s="12">
        <v>0</v>
      </c>
      <c r="AL26" s="12">
        <v>0</v>
      </c>
      <c r="AM26" s="12">
        <v>5</v>
      </c>
      <c r="AN26" s="12">
        <v>0</v>
      </c>
      <c r="AO26" s="12">
        <v>0</v>
      </c>
      <c r="AP26" s="12">
        <v>0</v>
      </c>
      <c r="AQ26" s="12">
        <v>0</v>
      </c>
      <c r="AR26" s="12">
        <v>0</v>
      </c>
      <c r="AS26" s="12">
        <v>0</v>
      </c>
      <c r="AT26" s="28"/>
      <c r="AU26" s="12">
        <f>IF($H26=3,IF(OR($F26="DDV",$F26="DDG",$F26="DD"),'Fleet Tech - Tech'!B$3,IF($F26="CL",'Fleet Tech - Tech'!B$4,IF($F26="CA",'Fleet Tech - Tech'!B$5,IF($F26="BC",'Fleet Tech - Tech'!B$6,IF($F26="BB",'Fleet Tech - Tech'!B$7,IF($F26="CVL",'Fleet Tech - Tech'!B$8,IF($F26="CV",'Fleet Tech - Tech'!B$9,IF($F26="SS",'Fleet Tech - Tech'!B$10,IF($F26="BBV",'Fleet Tech - Tech'!B$11,IF($F26="CB",'Fleet Tech - Tech'!B$15,IF($F26="AE",'Fleet Tech - Tech'!B$16,IF($F26="IX",'Fleet Tech - Tech'!B$17,IF($F26="BM",'Fleet Tech - Tech'!B$13,IF($F26="AR",'Fleet Tech - Tech'!B$12,IF($F26="SSV",'Fleet Tech - Tech'!B$14,"nil"))))))))))))))),0)</f>
        <v>0</v>
      </c>
      <c r="AV26" s="12">
        <f>IF($H26=3,IF(OR($F26="DDV",$F26="DDG",$F26="DD"),'Fleet Tech - Tech'!C$3,IF($F26="CL",'Fleet Tech - Tech'!C$4,IF($F26="CA",'Fleet Tech - Tech'!C$5,IF($F26="BC",'Fleet Tech - Tech'!C$6,IF($F26="BB",'Fleet Tech - Tech'!C$7,IF($F26="CVL",'Fleet Tech - Tech'!C$8,IF($F26="CV",'Fleet Tech - Tech'!C$9,IF($F26="SS",'Fleet Tech - Tech'!C$10,IF($F26="BBV",'Fleet Tech - Tech'!C$11,IF($F26="CB",'Fleet Tech - Tech'!C$15,IF($F26="AE",'Fleet Tech - Tech'!C$16,IF($F26="IX",'Fleet Tech - Tech'!C$17,IF($F26="BM",'Fleet Tech - Tech'!C$13,IF($F26="AR",'Fleet Tech - Tech'!C$12,IF($F26="SSV",'Fleet Tech - Tech'!C$14,"nil"))))))))))))))),0)</f>
        <v>0</v>
      </c>
      <c r="AW26" s="12">
        <f>IF($H26=3,IF(OR($F26="DDV",$F26="DDG",$F26="DD"),'Fleet Tech - Tech'!D$3,IF($F26="CL",'Fleet Tech - Tech'!D$4,IF($F26="CA",'Fleet Tech - Tech'!D$5,IF($F26="BC",'Fleet Tech - Tech'!D$6,IF($F26="BB",'Fleet Tech - Tech'!D$7,IF($F26="CVL",'Fleet Tech - Tech'!D$8,IF($F26="CV",'Fleet Tech - Tech'!D$9,IF($F26="SS",'Fleet Tech - Tech'!D$10,IF($F26="BBV",'Fleet Tech - Tech'!D$11,IF($F26="CB",'Fleet Tech - Tech'!D$15,IF($F26="AE",'Fleet Tech - Tech'!D$16,IF($F26="IX",'Fleet Tech - Tech'!D$17,IF($F26="BM",'Fleet Tech - Tech'!D$13,IF($F26="AR",'Fleet Tech - Tech'!D$12,IF($F26="SSV",'Fleet Tech - Tech'!D$14,"nil"))))))))))))))),0)</f>
        <v>0</v>
      </c>
      <c r="AX26" s="12">
        <f>IF($H26=3,IF(OR($F26="DDV",$F26="DDG",$F26="DD"),'Fleet Tech - Tech'!E$3,IF($F26="CL",'Fleet Tech - Tech'!E$4,IF($F26="CA",'Fleet Tech - Tech'!E$5,IF($F26="BC",'Fleet Tech - Tech'!E$6,IF($F26="BB",'Fleet Tech - Tech'!E$7,IF($F26="CVL",'Fleet Tech - Tech'!E$8,IF($F26="CV",'Fleet Tech - Tech'!E$9,IF($F26="SS",'Fleet Tech - Tech'!E$10,IF($F26="BBV",'Fleet Tech - Tech'!E$11,IF($F26="CB",'Fleet Tech - Tech'!E$15,IF($F26="AE",'Fleet Tech - Tech'!E$16,IF($F26="IX",'Fleet Tech - Tech'!E$17,IF($F26="BM",'Fleet Tech - Tech'!E$13,IF($F26="AR",'Fleet Tech - Tech'!E$12,IF($F26="SSV",'Fleet Tech - Tech'!E$14,"nil"))))))))))))))),0)</f>
        <v>0</v>
      </c>
      <c r="AY26" s="12">
        <f>IF($H26=3,IF(OR($F26="DDV",$F26="DDG",$F26="DD"),'Fleet Tech - Tech'!F$3,IF($F26="CL",'Fleet Tech - Tech'!F$4,IF($F26="CA",'Fleet Tech - Tech'!F$5,IF($F26="BC",'Fleet Tech - Tech'!F$6,IF($F26="BB",'Fleet Tech - Tech'!F$7,IF($F26="CVL",'Fleet Tech - Tech'!F$8,IF($F26="CV",'Fleet Tech - Tech'!F$9,IF($F26="SS",'Fleet Tech - Tech'!F$10,IF($F26="BBV",'Fleet Tech - Tech'!F$11,IF($F26="CB",'Fleet Tech - Tech'!F$15,IF($F26="AE",'Fleet Tech - Tech'!F$16,IF($F26="IX",'Fleet Tech - Tech'!F$17,IF($F26="BM",'Fleet Tech - Tech'!F$13,IF($F26="AR",'Fleet Tech - Tech'!F$12,IF($F26="SSV",'Fleet Tech - Tech'!F$14,"nil"))))))))))))))),0)</f>
        <v>0</v>
      </c>
      <c r="AZ26" s="12">
        <f>IF($H26=3,IF(OR($F26="DDV",$F26="DDG",$F26="DD"),'Fleet Tech - Tech'!G$3,IF($F26="CL",'Fleet Tech - Tech'!G$4,IF($F26="CA",'Fleet Tech - Tech'!G$5,IF($F26="BC",'Fleet Tech - Tech'!G$6,IF($F26="BB",'Fleet Tech - Tech'!G$7,IF($F26="CVL",'Fleet Tech - Tech'!G$8,IF($F26="CV",'Fleet Tech - Tech'!G$9,IF($F26="SS",'Fleet Tech - Tech'!G$10,IF($F26="BBV",'Fleet Tech - Tech'!G$11,IF($F26="CB",'Fleet Tech - Tech'!G$15,IF($F26="AE",'Fleet Tech - Tech'!G$16,IF($F26="IX",'Fleet Tech - Tech'!G$17,IF($F26="BM",'Fleet Tech - Tech'!G$13,IF($F26="AR",'Fleet Tech - Tech'!G$12,IF($F26="SSV",'Fleet Tech - Tech'!G$14,"nil"))))))))))))))),0)</f>
        <v>0</v>
      </c>
      <c r="BA26" s="12">
        <f>IF($H26=3,IF(OR($F26="DDV",$F26="DDG",$F26="DD"),'Fleet Tech - Tech'!H$3,IF($F26="CL",'Fleet Tech - Tech'!H$4,IF($F26="CA",'Fleet Tech - Tech'!H$5,IF($F26="BC",'Fleet Tech - Tech'!H$6,IF($F26="BB",'Fleet Tech - Tech'!H$7,IF($F26="CVL",'Fleet Tech - Tech'!H$8,IF($F26="CV",'Fleet Tech - Tech'!H$9,IF($F26="SS",'Fleet Tech - Tech'!H$10,IF($F26="BBV",'Fleet Tech - Tech'!H$11,IF($F26="CB",'Fleet Tech - Tech'!H$15,IF($F26="AE",'Fleet Tech - Tech'!H$16,IF($F26="IX",'Fleet Tech - Tech'!H$17,IF($F26="BM",'Fleet Tech - Tech'!H$13,IF($F26="AR",'Fleet Tech - Tech'!H$12,IF($F26="SSV",'Fleet Tech - Tech'!H$14,"nil"))))))))))))))),0)</f>
        <v>0</v>
      </c>
      <c r="BB26" s="12">
        <f>IF($H26=3,IF(OR($F26="DDV",$F26="DDG",$F26="DD"),'Fleet Tech - Tech'!I$3,IF($F26="CL",'Fleet Tech - Tech'!I$4,IF($F26="CA",'Fleet Tech - Tech'!I$5,IF($F26="BC",'Fleet Tech - Tech'!I$6,IF($F26="BB",'Fleet Tech - Tech'!I$7,IF($F26="CVL",'Fleet Tech - Tech'!I$8,IF($F26="CV",'Fleet Tech - Tech'!I$9,IF($F26="SS",'Fleet Tech - Tech'!I$10,IF($F26="BBV",'Fleet Tech - Tech'!I$11,IF($F26="CB",'Fleet Tech - Tech'!I$15,IF($F26="AE",'Fleet Tech - Tech'!I$16,IF($F26="IX",'Fleet Tech - Tech'!I$17,IF($F26="BM",'Fleet Tech - Tech'!I$13,IF($F26="AR",'Fleet Tech - Tech'!I$12,IF($F26="SSV",'Fleet Tech - Tech'!I$14,"nil"))))))))))))))),0)</f>
        <v>0</v>
      </c>
      <c r="BC26" s="12">
        <f>IF($H26=3,IF(OR($F26="DDV",$F26="DDG",$F26="DD"),'Fleet Tech - Tech'!J$3,IF($F26="CL",'Fleet Tech - Tech'!J$4,IF($F26="CA",'Fleet Tech - Tech'!J$5,IF($F26="BC",'Fleet Tech - Tech'!J$6,IF($F26="BB",'Fleet Tech - Tech'!J$7,IF($F26="CVL",'Fleet Tech - Tech'!J$8,IF($F26="CV",'Fleet Tech - Tech'!J$9,IF($F26="SS",'Fleet Tech - Tech'!J$10,IF($F26="BBV",'Fleet Tech - Tech'!J$11,IF($F26="CB",'Fleet Tech - Tech'!J$15,IF($F26="AE",'Fleet Tech - Tech'!J$16,IF($F26="IX",'Fleet Tech - Tech'!J$17,IF($F26="BM",'Fleet Tech - Tech'!J$13,IF($F26="AR",'Fleet Tech - Tech'!J$12,IF($F26="SSV",'Fleet Tech - Tech'!J$14,"nil"))))))))))))))),0)</f>
        <v>0</v>
      </c>
      <c r="BD26" s="12">
        <f>IF($H26=3,IF(OR($F26="DDV",$F26="DDG",$F26="DD"),'Fleet Tech - Tech'!K$3,IF($F26="CL",'Fleet Tech - Tech'!K$4,IF($F26="CA",'Fleet Tech - Tech'!K$5,IF($F26="BC",'Fleet Tech - Tech'!K$6,IF($F26="BB",'Fleet Tech - Tech'!K$7,IF($F26="CVL",'Fleet Tech - Tech'!K$8,IF($F26="CV",'Fleet Tech - Tech'!K$9,IF($F26="SS",'Fleet Tech - Tech'!K$10,IF($F26="BBV",'Fleet Tech - Tech'!K$11,IF($F26="CB",'Fleet Tech - Tech'!K$15,IF($F26="AE",'Fleet Tech - Tech'!K$16,IF($F26="IX",'Fleet Tech - Tech'!K$17,IF($F26="BM",'Fleet Tech - Tech'!K$13,IF($F26="AR",'Fleet Tech - Tech'!K$12,IF($F26="SSV",'Fleet Tech - Tech'!K$14,"nil"))))))))))))))),0)</f>
        <v>0</v>
      </c>
      <c r="BE26" s="12">
        <f>IF($H26=3,IF(OR($F26="DDV",$F26="DDG",$F26="DD"),'Fleet Tech - Tech'!L$3,IF($F26="CL",'Fleet Tech - Tech'!L$4,IF($F26="CA",'Fleet Tech - Tech'!L$5,IF($F26="BC",'Fleet Tech - Tech'!L$6,IF($F26="BB",'Fleet Tech - Tech'!L$7,IF($F26="CVL",'Fleet Tech - Tech'!L$8,IF($F26="CV",'Fleet Tech - Tech'!L$9,IF($F26="SS",'Fleet Tech - Tech'!L$10,IF($F26="BBV",'Fleet Tech - Tech'!L$11,IF($F26="CB",'Fleet Tech - Tech'!L$15,IF($F26="AE",'Fleet Tech - Tech'!L$16,IF($F26="IX",'Fleet Tech - Tech'!L$17,IF($F26="BM",'Fleet Tech - Tech'!L$13,IF($F26="AR",'Fleet Tech - Tech'!L$12,IF($F26="SSV",'Fleet Tech - Tech'!L$14,"nil"))))))))))))))),0)</f>
        <v>0</v>
      </c>
      <c r="BF26" s="12">
        <f>IF($H26=3,IF(OR($F26="DDV",$F26="DDG",$F26="DD"),'Fleet Tech - Tech'!M$3,IF($F26="CL",'Fleet Tech - Tech'!M$4,IF($F26="CA",'Fleet Tech - Tech'!M$5,IF($F26="BC",'Fleet Tech - Tech'!M$6,IF($F26="BB",'Fleet Tech - Tech'!M$7,IF($F26="CVL",'Fleet Tech - Tech'!M$8,IF($F26="CV",'Fleet Tech - Tech'!M$9,IF($F26="SS",'Fleet Tech - Tech'!M$10,IF($F26="BBV",'Fleet Tech - Tech'!M$11,IF($F26="CB",'Fleet Tech - Tech'!M$15,IF($F26="AE",'Fleet Tech - Tech'!M$16,IF($F26="IX",'Fleet Tech - Tech'!M$17,IF($F26="BM",'Fleet Tech - Tech'!M$13,IF($F26="AR",'Fleet Tech - Tech'!M$12,IF($F26="SSV",'Fleet Tech - Tech'!M$14,"nil"))))))))))))))),0)</f>
        <v>0</v>
      </c>
      <c r="BG26" s="12">
        <f>IF($H26=3,IF(OR($F26="DDV",$F26="DDG",$F26="DD"),'Fleet Tech - Tech'!N$3,IF($F26="CL",'Fleet Tech - Tech'!N$4,IF($F26="CA",'Fleet Tech - Tech'!N$5,IF($F26="BC",'Fleet Tech - Tech'!N$6,IF($F26="BB",'Fleet Tech - Tech'!N$7,IF($F26="CVL",'Fleet Tech - Tech'!N$8,IF($F26="CV",'Fleet Tech - Tech'!N$9,IF($F26="SS",'Fleet Tech - Tech'!N$10,IF($F26="BBV",'Fleet Tech - Tech'!N$11,IF($F26="CB",'Fleet Tech - Tech'!N$15,IF($F26="AE",'Fleet Tech - Tech'!N$16,IF($F26="IX",'Fleet Tech - Tech'!N$17,IF($F26="BM",'Fleet Tech - Tech'!N$13,IF($F26="AR",'Fleet Tech - Tech'!N$12,IF($F26="SSV",'Fleet Tech - Tech'!N$14,"nil"))))))))))))))),0)</f>
        <v>0</v>
      </c>
      <c r="BH26" s="28"/>
      <c r="BI26" s="12">
        <v>2309</v>
      </c>
      <c r="BJ26" s="12">
        <v>0</v>
      </c>
      <c r="BK26" s="12">
        <v>141</v>
      </c>
      <c r="BL26" s="12">
        <v>52</v>
      </c>
      <c r="BM26" s="12">
        <v>57</v>
      </c>
      <c r="BN26" s="12">
        <v>0</v>
      </c>
      <c r="BO26" s="12">
        <v>157</v>
      </c>
      <c r="BP26" s="12">
        <v>0</v>
      </c>
      <c r="BQ26" s="12">
        <v>29</v>
      </c>
      <c r="BR26" s="12">
        <v>7</v>
      </c>
      <c r="BS26" s="12">
        <v>93</v>
      </c>
      <c r="BT26" s="12">
        <v>41</v>
      </c>
      <c r="BU26" s="12">
        <v>48</v>
      </c>
      <c r="BV26" s="12">
        <v>335</v>
      </c>
      <c r="BW26" s="28"/>
      <c r="BX26" s="12">
        <v>1</v>
      </c>
      <c r="BY26" s="12">
        <v>0</v>
      </c>
      <c r="BZ26" s="12">
        <v>0</v>
      </c>
      <c r="CA26" s="12">
        <v>0</v>
      </c>
      <c r="CB26" s="12">
        <v>-1</v>
      </c>
      <c r="CC26" s="12">
        <v>-1</v>
      </c>
      <c r="CD26" s="12">
        <v>-1</v>
      </c>
      <c r="CE26" s="12">
        <v>-1</v>
      </c>
      <c r="CF26" s="12">
        <v>-1</v>
      </c>
      <c r="CG26" s="12">
        <v>-1</v>
      </c>
      <c r="CH26" s="12">
        <v>-1</v>
      </c>
      <c r="CI26" s="12">
        <v>-1</v>
      </c>
      <c r="CJ26" s="47"/>
      <c r="CK26" s="48">
        <f>IF(BX26=5,320,IF(BX26=4,195,IF(BX26=3,132,IF(BX26=2,90,IF(BX26=1,58,IF(BX26=-1,0,35))))))</f>
        <v>58</v>
      </c>
      <c r="CL26" s="48">
        <f>IF(BX26=5,20,IF(BX26=4,15,IF(BX26=3,12,IF(BX26=2,10,IF(BX26=1,8,IF(BX26=-1,0,5))))))</f>
        <v>8</v>
      </c>
      <c r="CM26" s="48">
        <f>IF(BZ26=5,320,IF(BZ26=4,195,IF(BZ26=3,132,IF(BZ26=2,90,IF(BZ26=1,58,IF(BZ26=-1,0,35))))))</f>
        <v>35</v>
      </c>
      <c r="CN26" s="48">
        <f>IF(BZ26=5,20,IF(BZ26=4,15,IF(BZ26=3,12,IF(BZ26=2,10,IF(BZ26=1,8,IF(BZ26=-1,0,5))))))</f>
        <v>5</v>
      </c>
      <c r="CO26" s="48">
        <f>IF(CB26=5,320,IF(CB26=4,195,IF(CB26=3,132,IF(CB26=2,90,IF(CB26=1,58,IF(CB26=-1,0,35))))))</f>
        <v>0</v>
      </c>
      <c r="CP26" s="48">
        <f>IF(CB26=5,20,IF(CB26=4,15,IF(CB26=3,12,IF(CB26=2,10,IF(CB26=1,8,IF(CB26=-1,0,5))))))</f>
        <v>0</v>
      </c>
      <c r="CQ26" s="48">
        <f>IF(CD26=5,320,IF(CD26=4,195,IF(CD26=3,132,IF(CD26=2,90,IF(CD26=1,58,IF(CD26=-1,0,35))))))</f>
        <v>0</v>
      </c>
      <c r="CR26" s="48">
        <f>IF(CD26=5,20,IF(CD26=4,15,IF(CD26=3,12,IF(CD26=2,10,IF(CD26=1,8,IF(CD26=-1,0,5))))))</f>
        <v>0</v>
      </c>
      <c r="CS26" s="48">
        <f>IF(CF26=5,320,IF(CF26=4,195,IF(CF26=3,132,IF(CF26=2,90,IF(CF26=1,58,IF(CF26=-1,0,35))))))</f>
        <v>0</v>
      </c>
      <c r="CT26" s="48">
        <f>IF(CF26=5,20,IF(CF26=4,15,IF(CF26=3,12,IF(CF26=2,10,IF(CF26=1,8,IF(CF26=-1,0,5))))))</f>
        <v>0</v>
      </c>
      <c r="CU26" s="48">
        <f>IF(CH26=5,320,IF(CH26=4,195,IF(CH26=3,132,IF(CH26=2,90,IF(CH26=1,58,IF(CH26=-1,0,35))))))</f>
        <v>0</v>
      </c>
      <c r="CV26" s="48">
        <f>IF(CH26=5,20,IF(CH26=4,15,IF(CH26=3,12,IF(CH26=2,10,IF(CH26=1,8,IF(CH26=-1,0,5))))))</f>
        <v>0</v>
      </c>
      <c r="CW26" s="48">
        <f>IF(BY26&gt;10,(BY26/10)-ROUNDDOWN(BY26/10,0),0)+IF(CA26&gt;10,(CA26/10)-ROUNDDOWN(CA26/10,0),0)+IF(CC26&gt;10,(CC26/10)-ROUNDDOWN(CC26/10,0),0)+IF(CE26&gt;10,(CE26/10)-ROUNDDOWN(CE26/10,0),0)+IF(CG26&gt;10,(CG26/10)-ROUNDDOWN(CG26/10,0),0)+IF(CI26&gt;10,(CI26/10)-ROUNDDOWN(CI26/10,0),0)</f>
        <v>0</v>
      </c>
      <c r="CX26" s="48">
        <f>1+(CW26/10)</f>
        <v>1</v>
      </c>
    </row>
    <row r="27" ht="20.05" customHeight="1">
      <c r="A27" t="s" s="43">
        <v>298</v>
      </c>
      <c r="B27" s="49"/>
      <c r="C27" t="s" s="45">
        <v>73</v>
      </c>
      <c r="D27" s="13">
        <v>4</v>
      </c>
      <c r="E27" t="s" s="15">
        <v>240</v>
      </c>
      <c r="F27" t="s" s="15">
        <v>297</v>
      </c>
      <c r="G27" t="s" s="15">
        <v>282</v>
      </c>
      <c r="H27" s="12">
        <v>2</v>
      </c>
      <c r="I27" t="s" s="15">
        <v>277</v>
      </c>
      <c r="J27" s="12">
        <v>47</v>
      </c>
      <c r="K27" t="s" s="14">
        <v>242</v>
      </c>
      <c r="L27" t="s" s="15">
        <v>237</v>
      </c>
      <c r="M27" t="s" s="15">
        <v>19</v>
      </c>
      <c r="N27" s="46">
        <f>ROUND((SUM(AA27,T27:Y27,AC27:AE27,Z27*10)-AB27*15)*(IF(K27="Heavy",0.15,IF(K27="Medium",0,IF(K27="Light",-0.15,10)))+1),0)</f>
        <v>491</v>
      </c>
      <c r="O27" s="46">
        <v>1193</v>
      </c>
      <c r="P27" s="46">
        <v>1193</v>
      </c>
      <c r="Q27" s="46">
        <f>ROUNDDOWN(((S27/5)+T27+X27+Y27+U27+AC27+V27+AA27+(2*(AD27+AE27))+CK27+CM27+CO27+CQ27+CS27+CU27+(CL27*BX27)+(CN27*BZ27)+(CP27*CB27)+(CR27*CD27)+(CT27*CF27)+(CV27*CH27))*CX27,0)</f>
        <v>1201</v>
      </c>
      <c r="R27" s="46">
        <f>ROUNDDOWN(AVERAGE(P27:Q27),0)</f>
        <v>1197</v>
      </c>
      <c r="S27" s="12">
        <f>AG27+AU27+BI27</f>
        <v>2391</v>
      </c>
      <c r="T27" s="12">
        <f>AH27+AV27+BJ27</f>
        <v>0</v>
      </c>
      <c r="U27" s="12">
        <f>AI27+AW27+BK27</f>
        <v>133</v>
      </c>
      <c r="V27" s="12">
        <f>AJ27+AX27+BL27</f>
        <v>50</v>
      </c>
      <c r="W27" s="12">
        <f>AK27+AY27+BM27</f>
        <v>57</v>
      </c>
      <c r="X27" s="12">
        <f>AL27+AZ27+BN27</f>
        <v>0</v>
      </c>
      <c r="Y27" s="12">
        <f>AM27+BA27+BO27</f>
        <v>157</v>
      </c>
      <c r="Z27" s="12">
        <f>AN27+BB27+BP27</f>
        <v>0</v>
      </c>
      <c r="AA27" s="12">
        <f>AO27+BC27+BQ27</f>
        <v>29</v>
      </c>
      <c r="AB27" s="12">
        <f>AP27+BD27+BR27</f>
        <v>7</v>
      </c>
      <c r="AC27" s="12">
        <f>AQ27+BE27+BS27</f>
        <v>87</v>
      </c>
      <c r="AD27" s="12">
        <f>AR27+BF27+BT27</f>
        <v>38</v>
      </c>
      <c r="AE27" s="12">
        <f>AS27+BG27+BU27</f>
        <v>45</v>
      </c>
      <c r="AF27" s="28"/>
      <c r="AG27" s="12">
        <v>0</v>
      </c>
      <c r="AH27" s="12">
        <v>0</v>
      </c>
      <c r="AI27" s="12">
        <v>0</v>
      </c>
      <c r="AJ27" s="12">
        <v>0</v>
      </c>
      <c r="AK27" s="12">
        <v>0</v>
      </c>
      <c r="AL27" s="12">
        <v>0</v>
      </c>
      <c r="AM27" s="12">
        <v>5</v>
      </c>
      <c r="AN27" s="12">
        <v>0</v>
      </c>
      <c r="AO27" s="12">
        <v>0</v>
      </c>
      <c r="AP27" s="12">
        <v>0</v>
      </c>
      <c r="AQ27" s="12">
        <v>0</v>
      </c>
      <c r="AR27" s="12">
        <v>0</v>
      </c>
      <c r="AS27" s="12">
        <v>0</v>
      </c>
      <c r="AT27" s="28"/>
      <c r="AU27" s="12">
        <f>IF($H27=3,IF(OR($F27="DDV",$F27="DDG",$F27="DD"),'Fleet Tech - Tech'!B$3,IF($F27="CL",'Fleet Tech - Tech'!B$4,IF($F27="CA",'Fleet Tech - Tech'!B$5,IF($F27="BC",'Fleet Tech - Tech'!B$6,IF($F27="BB",'Fleet Tech - Tech'!B$7,IF($F27="CVL",'Fleet Tech - Tech'!B$8,IF($F27="CV",'Fleet Tech - Tech'!B$9,IF($F27="SS",'Fleet Tech - Tech'!B$10,IF($F27="BBV",'Fleet Tech - Tech'!B$11,IF($F27="CB",'Fleet Tech - Tech'!B$15,IF($F27="AE",'Fleet Tech - Tech'!B$16,IF($F27="IX",'Fleet Tech - Tech'!B$17,IF($F27="BM",'Fleet Tech - Tech'!B$13,IF($F27="AR",'Fleet Tech - Tech'!B$12,IF($F27="SSV",'Fleet Tech - Tech'!B$14,"nil"))))))))))))))),0)</f>
        <v>0</v>
      </c>
      <c r="AV27" s="12">
        <f>IF($H27=3,IF(OR($F27="DDV",$F27="DDG",$F27="DD"),'Fleet Tech - Tech'!C$3,IF($F27="CL",'Fleet Tech - Tech'!C$4,IF($F27="CA",'Fleet Tech - Tech'!C$5,IF($F27="BC",'Fleet Tech - Tech'!C$6,IF($F27="BB",'Fleet Tech - Tech'!C$7,IF($F27="CVL",'Fleet Tech - Tech'!C$8,IF($F27="CV",'Fleet Tech - Tech'!C$9,IF($F27="SS",'Fleet Tech - Tech'!C$10,IF($F27="BBV",'Fleet Tech - Tech'!C$11,IF($F27="CB",'Fleet Tech - Tech'!C$15,IF($F27="AE",'Fleet Tech - Tech'!C$16,IF($F27="IX",'Fleet Tech - Tech'!C$17,IF($F27="BM",'Fleet Tech - Tech'!C$13,IF($F27="AR",'Fleet Tech - Tech'!C$12,IF($F27="SSV",'Fleet Tech - Tech'!C$14,"nil"))))))))))))))),0)</f>
        <v>0</v>
      </c>
      <c r="AW27" s="12">
        <f>IF($H27=3,IF(OR($F27="DDV",$F27="DDG",$F27="DD"),'Fleet Tech - Tech'!D$3,IF($F27="CL",'Fleet Tech - Tech'!D$4,IF($F27="CA",'Fleet Tech - Tech'!D$5,IF($F27="BC",'Fleet Tech - Tech'!D$6,IF($F27="BB",'Fleet Tech - Tech'!D$7,IF($F27="CVL",'Fleet Tech - Tech'!D$8,IF($F27="CV",'Fleet Tech - Tech'!D$9,IF($F27="SS",'Fleet Tech - Tech'!D$10,IF($F27="BBV",'Fleet Tech - Tech'!D$11,IF($F27="CB",'Fleet Tech - Tech'!D$15,IF($F27="AE",'Fleet Tech - Tech'!D$16,IF($F27="IX",'Fleet Tech - Tech'!D$17,IF($F27="BM",'Fleet Tech - Tech'!D$13,IF($F27="AR",'Fleet Tech - Tech'!D$12,IF($F27="SSV",'Fleet Tech - Tech'!D$14,"nil"))))))))))))))),0)</f>
        <v>0</v>
      </c>
      <c r="AX27" s="12">
        <f>IF($H27=3,IF(OR($F27="DDV",$F27="DDG",$F27="DD"),'Fleet Tech - Tech'!E$3,IF($F27="CL",'Fleet Tech - Tech'!E$4,IF($F27="CA",'Fleet Tech - Tech'!E$5,IF($F27="BC",'Fleet Tech - Tech'!E$6,IF($F27="BB",'Fleet Tech - Tech'!E$7,IF($F27="CVL",'Fleet Tech - Tech'!E$8,IF($F27="CV",'Fleet Tech - Tech'!E$9,IF($F27="SS",'Fleet Tech - Tech'!E$10,IF($F27="BBV",'Fleet Tech - Tech'!E$11,IF($F27="CB",'Fleet Tech - Tech'!E$15,IF($F27="AE",'Fleet Tech - Tech'!E$16,IF($F27="IX",'Fleet Tech - Tech'!E$17,IF($F27="BM",'Fleet Tech - Tech'!E$13,IF($F27="AR",'Fleet Tech - Tech'!E$12,IF($F27="SSV",'Fleet Tech - Tech'!E$14,"nil"))))))))))))))),0)</f>
        <v>0</v>
      </c>
      <c r="AY27" s="12">
        <f>IF($H27=3,IF(OR($F27="DDV",$F27="DDG",$F27="DD"),'Fleet Tech - Tech'!F$3,IF($F27="CL",'Fleet Tech - Tech'!F$4,IF($F27="CA",'Fleet Tech - Tech'!F$5,IF($F27="BC",'Fleet Tech - Tech'!F$6,IF($F27="BB",'Fleet Tech - Tech'!F$7,IF($F27="CVL",'Fleet Tech - Tech'!F$8,IF($F27="CV",'Fleet Tech - Tech'!F$9,IF($F27="SS",'Fleet Tech - Tech'!F$10,IF($F27="BBV",'Fleet Tech - Tech'!F$11,IF($F27="CB",'Fleet Tech - Tech'!F$15,IF($F27="AE",'Fleet Tech - Tech'!F$16,IF($F27="IX",'Fleet Tech - Tech'!F$17,IF($F27="BM",'Fleet Tech - Tech'!F$13,IF($F27="AR",'Fleet Tech - Tech'!F$12,IF($F27="SSV",'Fleet Tech - Tech'!F$14,"nil"))))))))))))))),0)</f>
        <v>0</v>
      </c>
      <c r="AZ27" s="12">
        <f>IF($H27=3,IF(OR($F27="DDV",$F27="DDG",$F27="DD"),'Fleet Tech - Tech'!G$3,IF($F27="CL",'Fleet Tech - Tech'!G$4,IF($F27="CA",'Fleet Tech - Tech'!G$5,IF($F27="BC",'Fleet Tech - Tech'!G$6,IF($F27="BB",'Fleet Tech - Tech'!G$7,IF($F27="CVL",'Fleet Tech - Tech'!G$8,IF($F27="CV",'Fleet Tech - Tech'!G$9,IF($F27="SS",'Fleet Tech - Tech'!G$10,IF($F27="BBV",'Fleet Tech - Tech'!G$11,IF($F27="CB",'Fleet Tech - Tech'!G$15,IF($F27="AE",'Fleet Tech - Tech'!G$16,IF($F27="IX",'Fleet Tech - Tech'!G$17,IF($F27="BM",'Fleet Tech - Tech'!G$13,IF($F27="AR",'Fleet Tech - Tech'!G$12,IF($F27="SSV",'Fleet Tech - Tech'!G$14,"nil"))))))))))))))),0)</f>
        <v>0</v>
      </c>
      <c r="BA27" s="12">
        <f>IF($H27=3,IF(OR($F27="DDV",$F27="DDG",$F27="DD"),'Fleet Tech - Tech'!H$3,IF($F27="CL",'Fleet Tech - Tech'!H$4,IF($F27="CA",'Fleet Tech - Tech'!H$5,IF($F27="BC",'Fleet Tech - Tech'!H$6,IF($F27="BB",'Fleet Tech - Tech'!H$7,IF($F27="CVL",'Fleet Tech - Tech'!H$8,IF($F27="CV",'Fleet Tech - Tech'!H$9,IF($F27="SS",'Fleet Tech - Tech'!H$10,IF($F27="BBV",'Fleet Tech - Tech'!H$11,IF($F27="CB",'Fleet Tech - Tech'!H$15,IF($F27="AE",'Fleet Tech - Tech'!H$16,IF($F27="IX",'Fleet Tech - Tech'!H$17,IF($F27="BM",'Fleet Tech - Tech'!H$13,IF($F27="AR",'Fleet Tech - Tech'!H$12,IF($F27="SSV",'Fleet Tech - Tech'!H$14,"nil"))))))))))))))),0)</f>
        <v>0</v>
      </c>
      <c r="BB27" s="12">
        <f>IF($H27=3,IF(OR($F27="DDV",$F27="DDG",$F27="DD"),'Fleet Tech - Tech'!I$3,IF($F27="CL",'Fleet Tech - Tech'!I$4,IF($F27="CA",'Fleet Tech - Tech'!I$5,IF($F27="BC",'Fleet Tech - Tech'!I$6,IF($F27="BB",'Fleet Tech - Tech'!I$7,IF($F27="CVL",'Fleet Tech - Tech'!I$8,IF($F27="CV",'Fleet Tech - Tech'!I$9,IF($F27="SS",'Fleet Tech - Tech'!I$10,IF($F27="BBV",'Fleet Tech - Tech'!I$11,IF($F27="CB",'Fleet Tech - Tech'!I$15,IF($F27="AE",'Fleet Tech - Tech'!I$16,IF($F27="IX",'Fleet Tech - Tech'!I$17,IF($F27="BM",'Fleet Tech - Tech'!I$13,IF($F27="AR",'Fleet Tech - Tech'!I$12,IF($F27="SSV",'Fleet Tech - Tech'!I$14,"nil"))))))))))))))),0)</f>
        <v>0</v>
      </c>
      <c r="BC27" s="12">
        <f>IF($H27=3,IF(OR($F27="DDV",$F27="DDG",$F27="DD"),'Fleet Tech - Tech'!J$3,IF($F27="CL",'Fleet Tech - Tech'!J$4,IF($F27="CA",'Fleet Tech - Tech'!J$5,IF($F27="BC",'Fleet Tech - Tech'!J$6,IF($F27="BB",'Fleet Tech - Tech'!J$7,IF($F27="CVL",'Fleet Tech - Tech'!J$8,IF($F27="CV",'Fleet Tech - Tech'!J$9,IF($F27="SS",'Fleet Tech - Tech'!J$10,IF($F27="BBV",'Fleet Tech - Tech'!J$11,IF($F27="CB",'Fleet Tech - Tech'!J$15,IF($F27="AE",'Fleet Tech - Tech'!J$16,IF($F27="IX",'Fleet Tech - Tech'!J$17,IF($F27="BM",'Fleet Tech - Tech'!J$13,IF($F27="AR",'Fleet Tech - Tech'!J$12,IF($F27="SSV",'Fleet Tech - Tech'!J$14,"nil"))))))))))))))),0)</f>
        <v>0</v>
      </c>
      <c r="BD27" s="12">
        <f>IF($H27=3,IF(OR($F27="DDV",$F27="DDG",$F27="DD"),'Fleet Tech - Tech'!K$3,IF($F27="CL",'Fleet Tech - Tech'!K$4,IF($F27="CA",'Fleet Tech - Tech'!K$5,IF($F27="BC",'Fleet Tech - Tech'!K$6,IF($F27="BB",'Fleet Tech - Tech'!K$7,IF($F27="CVL",'Fleet Tech - Tech'!K$8,IF($F27="CV",'Fleet Tech - Tech'!K$9,IF($F27="SS",'Fleet Tech - Tech'!K$10,IF($F27="BBV",'Fleet Tech - Tech'!K$11,IF($F27="CB",'Fleet Tech - Tech'!K$15,IF($F27="AE",'Fleet Tech - Tech'!K$16,IF($F27="IX",'Fleet Tech - Tech'!K$17,IF($F27="BM",'Fleet Tech - Tech'!K$13,IF($F27="AR",'Fleet Tech - Tech'!K$12,IF($F27="SSV",'Fleet Tech - Tech'!K$14,"nil"))))))))))))))),0)</f>
        <v>0</v>
      </c>
      <c r="BE27" s="12">
        <f>IF($H27=3,IF(OR($F27="DDV",$F27="DDG",$F27="DD"),'Fleet Tech - Tech'!L$3,IF($F27="CL",'Fleet Tech - Tech'!L$4,IF($F27="CA",'Fleet Tech - Tech'!L$5,IF($F27="BC",'Fleet Tech - Tech'!L$6,IF($F27="BB",'Fleet Tech - Tech'!L$7,IF($F27="CVL",'Fleet Tech - Tech'!L$8,IF($F27="CV",'Fleet Tech - Tech'!L$9,IF($F27="SS",'Fleet Tech - Tech'!L$10,IF($F27="BBV",'Fleet Tech - Tech'!L$11,IF($F27="CB",'Fleet Tech - Tech'!L$15,IF($F27="AE",'Fleet Tech - Tech'!L$16,IF($F27="IX",'Fleet Tech - Tech'!L$17,IF($F27="BM",'Fleet Tech - Tech'!L$13,IF($F27="AR",'Fleet Tech - Tech'!L$12,IF($F27="SSV",'Fleet Tech - Tech'!L$14,"nil"))))))))))))))),0)</f>
        <v>0</v>
      </c>
      <c r="BF27" s="12">
        <f>IF($H27=3,IF(OR($F27="DDV",$F27="DDG",$F27="DD"),'Fleet Tech - Tech'!M$3,IF($F27="CL",'Fleet Tech - Tech'!M$4,IF($F27="CA",'Fleet Tech - Tech'!M$5,IF($F27="BC",'Fleet Tech - Tech'!M$6,IF($F27="BB",'Fleet Tech - Tech'!M$7,IF($F27="CVL",'Fleet Tech - Tech'!M$8,IF($F27="CV",'Fleet Tech - Tech'!M$9,IF($F27="SS",'Fleet Tech - Tech'!M$10,IF($F27="BBV",'Fleet Tech - Tech'!M$11,IF($F27="CB",'Fleet Tech - Tech'!M$15,IF($F27="AE",'Fleet Tech - Tech'!M$16,IF($F27="IX",'Fleet Tech - Tech'!M$17,IF($F27="BM",'Fleet Tech - Tech'!M$13,IF($F27="AR",'Fleet Tech - Tech'!M$12,IF($F27="SSV",'Fleet Tech - Tech'!M$14,"nil"))))))))))))))),0)</f>
        <v>0</v>
      </c>
      <c r="BG27" s="12">
        <f>IF($H27=3,IF(OR($F27="DDV",$F27="DDG",$F27="DD"),'Fleet Tech - Tech'!N$3,IF($F27="CL",'Fleet Tech - Tech'!N$4,IF($F27="CA",'Fleet Tech - Tech'!N$5,IF($F27="BC",'Fleet Tech - Tech'!N$6,IF($F27="BB",'Fleet Tech - Tech'!N$7,IF($F27="CVL",'Fleet Tech - Tech'!N$8,IF($F27="CV",'Fleet Tech - Tech'!N$9,IF($F27="SS",'Fleet Tech - Tech'!N$10,IF($F27="BBV",'Fleet Tech - Tech'!N$11,IF($F27="CB",'Fleet Tech - Tech'!N$15,IF($F27="AE",'Fleet Tech - Tech'!N$16,IF($F27="IX",'Fleet Tech - Tech'!N$17,IF($F27="BM",'Fleet Tech - Tech'!N$13,IF($F27="AR",'Fleet Tech - Tech'!N$12,IF($F27="SSV",'Fleet Tech - Tech'!N$14,"nil"))))))))))))))),0)</f>
        <v>0</v>
      </c>
      <c r="BH27" s="28"/>
      <c r="BI27" s="12">
        <v>2391</v>
      </c>
      <c r="BJ27" s="12">
        <v>0</v>
      </c>
      <c r="BK27" s="12">
        <v>133</v>
      </c>
      <c r="BL27" s="12">
        <v>50</v>
      </c>
      <c r="BM27" s="12">
        <v>57</v>
      </c>
      <c r="BN27" s="12">
        <v>0</v>
      </c>
      <c r="BO27" s="12">
        <v>152</v>
      </c>
      <c r="BP27" s="12">
        <v>0</v>
      </c>
      <c r="BQ27" s="12">
        <v>29</v>
      </c>
      <c r="BR27" s="12">
        <v>7</v>
      </c>
      <c r="BS27" s="12">
        <v>87</v>
      </c>
      <c r="BT27" s="12">
        <v>38</v>
      </c>
      <c r="BU27" s="12">
        <v>45</v>
      </c>
      <c r="BV27" s="12">
        <v>335</v>
      </c>
      <c r="BW27" s="28"/>
      <c r="BX27" s="12">
        <v>1</v>
      </c>
      <c r="BY27" s="12">
        <v>0</v>
      </c>
      <c r="BZ27" s="12">
        <v>0</v>
      </c>
      <c r="CA27" s="12">
        <v>0</v>
      </c>
      <c r="CB27" s="12">
        <v>-1</v>
      </c>
      <c r="CC27" s="12">
        <v>-1</v>
      </c>
      <c r="CD27" s="12">
        <v>-1</v>
      </c>
      <c r="CE27" s="12">
        <v>-1</v>
      </c>
      <c r="CF27" s="12">
        <v>-1</v>
      </c>
      <c r="CG27" s="12">
        <v>-1</v>
      </c>
      <c r="CH27" s="12">
        <v>-1</v>
      </c>
      <c r="CI27" s="12">
        <v>-1</v>
      </c>
      <c r="CJ27" s="47"/>
      <c r="CK27" s="48">
        <f>IF(BX27=5,320,IF(BX27=4,195,IF(BX27=3,132,IF(BX27=2,90,IF(BX27=1,58,IF(BX27=-1,0,35))))))</f>
        <v>58</v>
      </c>
      <c r="CL27" s="48">
        <f>IF(BX27=5,20,IF(BX27=4,15,IF(BX27=3,12,IF(BX27=2,10,IF(BX27=1,8,IF(BX27=-1,0,5))))))</f>
        <v>8</v>
      </c>
      <c r="CM27" s="48">
        <f>IF(BZ27=5,320,IF(BZ27=4,195,IF(BZ27=3,132,IF(BZ27=2,90,IF(BZ27=1,58,IF(BZ27=-1,0,35))))))</f>
        <v>35</v>
      </c>
      <c r="CN27" s="48">
        <f>IF(BZ27=5,20,IF(BZ27=4,15,IF(BZ27=3,12,IF(BZ27=2,10,IF(BZ27=1,8,IF(BZ27=-1,0,5))))))</f>
        <v>5</v>
      </c>
      <c r="CO27" s="48">
        <f>IF(CB27=5,320,IF(CB27=4,195,IF(CB27=3,132,IF(CB27=2,90,IF(CB27=1,58,IF(CB27=-1,0,35))))))</f>
        <v>0</v>
      </c>
      <c r="CP27" s="48">
        <f>IF(CB27=5,20,IF(CB27=4,15,IF(CB27=3,12,IF(CB27=2,10,IF(CB27=1,8,IF(CB27=-1,0,5))))))</f>
        <v>0</v>
      </c>
      <c r="CQ27" s="48">
        <f>IF(CD27=5,320,IF(CD27=4,195,IF(CD27=3,132,IF(CD27=2,90,IF(CD27=1,58,IF(CD27=-1,0,35))))))</f>
        <v>0</v>
      </c>
      <c r="CR27" s="48">
        <f>IF(CD27=5,20,IF(CD27=4,15,IF(CD27=3,12,IF(CD27=2,10,IF(CD27=1,8,IF(CD27=-1,0,5))))))</f>
        <v>0</v>
      </c>
      <c r="CS27" s="48">
        <f>IF(CF27=5,320,IF(CF27=4,195,IF(CF27=3,132,IF(CF27=2,90,IF(CF27=1,58,IF(CF27=-1,0,35))))))</f>
        <v>0</v>
      </c>
      <c r="CT27" s="48">
        <f>IF(CF27=5,20,IF(CF27=4,15,IF(CF27=3,12,IF(CF27=2,10,IF(CF27=1,8,IF(CF27=-1,0,5))))))</f>
        <v>0</v>
      </c>
      <c r="CU27" s="48">
        <f>IF(CH27=5,320,IF(CH27=4,195,IF(CH27=3,132,IF(CH27=2,90,IF(CH27=1,58,IF(CH27=-1,0,35))))))</f>
        <v>0</v>
      </c>
      <c r="CV27" s="48">
        <f>IF(CH27=5,20,IF(CH27=4,15,IF(CH27=3,12,IF(CH27=2,10,IF(CH27=1,8,IF(CH27=-1,0,5))))))</f>
        <v>0</v>
      </c>
      <c r="CW27" s="48">
        <f>IF(BY27&gt;10,(BY27/10)-ROUNDDOWN(BY27/10,0),0)+IF(CA27&gt;10,(CA27/10)-ROUNDDOWN(CA27/10,0),0)+IF(CC27&gt;10,(CC27/10)-ROUNDDOWN(CC27/10,0),0)+IF(CE27&gt;10,(CE27/10)-ROUNDDOWN(CE27/10,0),0)+IF(CG27&gt;10,(CG27/10)-ROUNDDOWN(CG27/10,0),0)+IF(CI27&gt;10,(CI27/10)-ROUNDDOWN(CI27/10,0),0)</f>
        <v>0</v>
      </c>
      <c r="CX27" s="48">
        <f>1+(CW27/10)</f>
        <v>1</v>
      </c>
    </row>
    <row r="28" ht="20.05" customHeight="1">
      <c r="A28" t="s" s="43">
        <v>299</v>
      </c>
      <c r="B28" s="49"/>
      <c r="C28" t="s" s="45">
        <v>73</v>
      </c>
      <c r="D28" s="13">
        <v>4</v>
      </c>
      <c r="E28" t="s" s="15">
        <v>232</v>
      </c>
      <c r="F28" t="s" s="15">
        <v>284</v>
      </c>
      <c r="G28" t="s" s="15">
        <v>282</v>
      </c>
      <c r="H28" s="12">
        <v>2</v>
      </c>
      <c r="I28" t="s" s="15">
        <v>300</v>
      </c>
      <c r="J28" s="12">
        <v>43</v>
      </c>
      <c r="K28" t="s" s="14">
        <v>236</v>
      </c>
      <c r="L28" t="s" s="15">
        <v>237</v>
      </c>
      <c r="M28" t="s" s="15">
        <v>19</v>
      </c>
      <c r="N28" s="46">
        <f>ROUND((SUM(AA28,T28:Y28,AC28:AE28,Z28*10)-AB28*15)*(IF(K28="Heavy",0.15,IF(K28="Medium",0,IF(K28="Light",-0.15,10)))+1),0)</f>
        <v>615</v>
      </c>
      <c r="O28" s="46">
        <v>1156</v>
      </c>
      <c r="P28" s="46">
        <f>ROUNDDOWN((BI28+AU28+AG28)/5,0)+(BJ28+AV28+AH28)+(BN28+AZ28+AL28)+(BO28+BA28+AM28)+(BK28+AW28+AI28)+(BS28+BE28+AQ28)+(BL28+AX28+AJ28)+(BQ28+BC28+AO28)+(2*((BT28+BF28+AR28)+(BU28+BG28+AS28)))+(CK28+CM28+CO28+CQ28+CS28+CU28)+(CL28*BY28)+(CN28*CA28)+(CP28+CC28)+(CR28+CE28)+(CT28+CG28)+(CV28+CI28)+BV28</f>
        <v>1161</v>
      </c>
      <c r="Q28" s="46">
        <f>ROUNDDOWN(((S28/5)+T28+X28+Y28+U28+AC28+V28+AA28+(2*(AD28+AE28))+CK28+CM28+CO28+CQ28+CS28+CU28+(CL28*BX28)+(CN28*BZ28)+(CP28*CB28)+(CR28*CD28)+(CT28*CF28)+(CV28*CH28))*CX28,0)</f>
        <v>1155</v>
      </c>
      <c r="R28" s="46">
        <f>ROUNDDOWN(AVERAGE(P28:Q28),0)</f>
        <v>1158</v>
      </c>
      <c r="S28" s="12">
        <f>AG28+AU28+BI28</f>
        <v>737</v>
      </c>
      <c r="T28" s="12">
        <f>AH28+AV28+BJ28</f>
        <v>25</v>
      </c>
      <c r="U28" s="12">
        <f>AI28+AW28+BK28</f>
        <v>64</v>
      </c>
      <c r="V28" s="12">
        <f>AJ28+AX28+BL28</f>
        <v>101</v>
      </c>
      <c r="W28" s="12">
        <f>AK28+AY28+BM28</f>
        <v>45</v>
      </c>
      <c r="X28" s="12">
        <f>AL28+AZ28+BN28</f>
        <v>174</v>
      </c>
      <c r="Y28" s="12">
        <f>AM28+BA28+BO28</f>
        <v>0</v>
      </c>
      <c r="Z28" s="12">
        <f>AN28+BB28+BP28</f>
        <v>0</v>
      </c>
      <c r="AA28" s="12">
        <f>AO28+BC28+BQ28</f>
        <v>44</v>
      </c>
      <c r="AB28" s="12">
        <f>AP28+BD28+BR28</f>
        <v>4</v>
      </c>
      <c r="AC28" s="12">
        <f>AQ28+BE28+BS28</f>
        <v>95</v>
      </c>
      <c r="AD28" s="12">
        <f>AR28+BF28+BT28</f>
        <v>125</v>
      </c>
      <c r="AE28" s="12">
        <f>AS28+BG28+BU28</f>
        <v>110</v>
      </c>
      <c r="AF28" s="28"/>
      <c r="AG28" s="12">
        <v>0</v>
      </c>
      <c r="AH28" s="12">
        <v>0</v>
      </c>
      <c r="AI28" s="12">
        <v>0</v>
      </c>
      <c r="AJ28" s="12">
        <v>0</v>
      </c>
      <c r="AK28" s="12">
        <v>0</v>
      </c>
      <c r="AL28" s="12">
        <v>0</v>
      </c>
      <c r="AM28" s="12">
        <v>0</v>
      </c>
      <c r="AN28" s="12">
        <v>0</v>
      </c>
      <c r="AO28" s="12">
        <v>0</v>
      </c>
      <c r="AP28" s="12">
        <v>0</v>
      </c>
      <c r="AQ28" s="12">
        <v>0</v>
      </c>
      <c r="AR28" s="12">
        <v>0</v>
      </c>
      <c r="AS28" s="12">
        <v>0</v>
      </c>
      <c r="AT28" s="28"/>
      <c r="AU28" s="12">
        <f>IF($H28=3,IF(OR($F28="DDV",$F28="DDG",$F28="DD"),'Fleet Tech - Tech'!B$3,IF($F28="CL",'Fleet Tech - Tech'!B$4,IF($F28="CA",'Fleet Tech - Tech'!B$5,IF($F28="BC",'Fleet Tech - Tech'!B$6,IF($F28="BB",'Fleet Tech - Tech'!B$7,IF($F28="CVL",'Fleet Tech - Tech'!B$8,IF($F28="CV",'Fleet Tech - Tech'!B$9,IF($F28="SS",'Fleet Tech - Tech'!B$10,IF($F28="BBV",'Fleet Tech - Tech'!B$11,IF($F28="CB",'Fleet Tech - Tech'!B$15,IF($F28="AE",'Fleet Tech - Tech'!B$16,IF($F28="IX",'Fleet Tech - Tech'!B$17,IF($F28="BM",'Fleet Tech - Tech'!B$13,IF($F28="AR",'Fleet Tech - Tech'!B$12,IF($F28="SSV",'Fleet Tech - Tech'!B$14,"nil"))))))))))))))),0)</f>
        <v>0</v>
      </c>
      <c r="AV28" s="12">
        <f>IF($H28=3,IF(OR($F28="DDV",$F28="DDG",$F28="DD"),'Fleet Tech - Tech'!C$3,IF($F28="CL",'Fleet Tech - Tech'!C$4,IF($F28="CA",'Fleet Tech - Tech'!C$5,IF($F28="BC",'Fleet Tech - Tech'!C$6,IF($F28="BB",'Fleet Tech - Tech'!C$7,IF($F28="CVL",'Fleet Tech - Tech'!C$8,IF($F28="CV",'Fleet Tech - Tech'!C$9,IF($F28="SS",'Fleet Tech - Tech'!C$10,IF($F28="BBV",'Fleet Tech - Tech'!C$11,IF($F28="CB",'Fleet Tech - Tech'!C$15,IF($F28="AE",'Fleet Tech - Tech'!C$16,IF($F28="IX",'Fleet Tech - Tech'!C$17,IF($F28="BM",'Fleet Tech - Tech'!C$13,IF($F28="AR",'Fleet Tech - Tech'!C$12,IF($F28="SSV",'Fleet Tech - Tech'!C$14,"nil"))))))))))))))),0)</f>
        <v>0</v>
      </c>
      <c r="AW28" s="12">
        <f>IF($H28=3,IF(OR($F28="DDV",$F28="DDG",$F28="DD"),'Fleet Tech - Tech'!D$3,IF($F28="CL",'Fleet Tech - Tech'!D$4,IF($F28="CA",'Fleet Tech - Tech'!D$5,IF($F28="BC",'Fleet Tech - Tech'!D$6,IF($F28="BB",'Fleet Tech - Tech'!D$7,IF($F28="CVL",'Fleet Tech - Tech'!D$8,IF($F28="CV",'Fleet Tech - Tech'!D$9,IF($F28="SS",'Fleet Tech - Tech'!D$10,IF($F28="BBV",'Fleet Tech - Tech'!D$11,IF($F28="CB",'Fleet Tech - Tech'!D$15,IF($F28="AE",'Fleet Tech - Tech'!D$16,IF($F28="IX",'Fleet Tech - Tech'!D$17,IF($F28="BM",'Fleet Tech - Tech'!D$13,IF($F28="AR",'Fleet Tech - Tech'!D$12,IF($F28="SSV",'Fleet Tech - Tech'!D$14,"nil"))))))))))))))),0)</f>
        <v>0</v>
      </c>
      <c r="AX28" s="12">
        <f>IF($H28=3,IF(OR($F28="DDV",$F28="DDG",$F28="DD"),'Fleet Tech - Tech'!E$3,IF($F28="CL",'Fleet Tech - Tech'!E$4,IF($F28="CA",'Fleet Tech - Tech'!E$5,IF($F28="BC",'Fleet Tech - Tech'!E$6,IF($F28="BB",'Fleet Tech - Tech'!E$7,IF($F28="CVL",'Fleet Tech - Tech'!E$8,IF($F28="CV",'Fleet Tech - Tech'!E$9,IF($F28="SS",'Fleet Tech - Tech'!E$10,IF($F28="BBV",'Fleet Tech - Tech'!E$11,IF($F28="CB",'Fleet Tech - Tech'!E$15,IF($F28="AE",'Fleet Tech - Tech'!E$16,IF($F28="IX",'Fleet Tech - Tech'!E$17,IF($F28="BM",'Fleet Tech - Tech'!E$13,IF($F28="AR",'Fleet Tech - Tech'!E$12,IF($F28="SSV",'Fleet Tech - Tech'!E$14,"nil"))))))))))))))),0)</f>
        <v>0</v>
      </c>
      <c r="AY28" s="12">
        <f>IF($H28=3,IF(OR($F28="DDV",$F28="DDG",$F28="DD"),'Fleet Tech - Tech'!F$3,IF($F28="CL",'Fleet Tech - Tech'!F$4,IF($F28="CA",'Fleet Tech - Tech'!F$5,IF($F28="BC",'Fleet Tech - Tech'!F$6,IF($F28="BB",'Fleet Tech - Tech'!F$7,IF($F28="CVL",'Fleet Tech - Tech'!F$8,IF($F28="CV",'Fleet Tech - Tech'!F$9,IF($F28="SS",'Fleet Tech - Tech'!F$10,IF($F28="BBV",'Fleet Tech - Tech'!F$11,IF($F28="CB",'Fleet Tech - Tech'!F$15,IF($F28="AE",'Fleet Tech - Tech'!F$16,IF($F28="IX",'Fleet Tech - Tech'!F$17,IF($F28="BM",'Fleet Tech - Tech'!F$13,IF($F28="AR",'Fleet Tech - Tech'!F$12,IF($F28="SSV",'Fleet Tech - Tech'!F$14,"nil"))))))))))))))),0)</f>
        <v>0</v>
      </c>
      <c r="AZ28" s="12">
        <f>IF($H28=3,IF(OR($F28="DDV",$F28="DDG",$F28="DD"),'Fleet Tech - Tech'!G$3,IF($F28="CL",'Fleet Tech - Tech'!G$4,IF($F28="CA",'Fleet Tech - Tech'!G$5,IF($F28="BC",'Fleet Tech - Tech'!G$6,IF($F28="BB",'Fleet Tech - Tech'!G$7,IF($F28="CVL",'Fleet Tech - Tech'!G$8,IF($F28="CV",'Fleet Tech - Tech'!G$9,IF($F28="SS",'Fleet Tech - Tech'!G$10,IF($F28="BBV",'Fleet Tech - Tech'!G$11,IF($F28="CB",'Fleet Tech - Tech'!G$15,IF($F28="AE",'Fleet Tech - Tech'!G$16,IF($F28="IX",'Fleet Tech - Tech'!G$17,IF($F28="BM",'Fleet Tech - Tech'!G$13,IF($F28="AR",'Fleet Tech - Tech'!G$12,IF($F28="SSV",'Fleet Tech - Tech'!G$14,"nil"))))))))))))))),0)</f>
        <v>0</v>
      </c>
      <c r="BA28" s="12">
        <f>IF($H28=3,IF(OR($F28="DDV",$F28="DDG",$F28="DD"),'Fleet Tech - Tech'!H$3,IF($F28="CL",'Fleet Tech - Tech'!H$4,IF($F28="CA",'Fleet Tech - Tech'!H$5,IF($F28="BC",'Fleet Tech - Tech'!H$6,IF($F28="BB",'Fleet Tech - Tech'!H$7,IF($F28="CVL",'Fleet Tech - Tech'!H$8,IF($F28="CV",'Fleet Tech - Tech'!H$9,IF($F28="SS",'Fleet Tech - Tech'!H$10,IF($F28="BBV",'Fleet Tech - Tech'!H$11,IF($F28="CB",'Fleet Tech - Tech'!H$15,IF($F28="AE",'Fleet Tech - Tech'!H$16,IF($F28="IX",'Fleet Tech - Tech'!H$17,IF($F28="BM",'Fleet Tech - Tech'!H$13,IF($F28="AR",'Fleet Tech - Tech'!H$12,IF($F28="SSV",'Fleet Tech - Tech'!H$14,"nil"))))))))))))))),0)</f>
        <v>0</v>
      </c>
      <c r="BB28" s="12">
        <f>IF($H28=3,IF(OR($F28="DDV",$F28="DDG",$F28="DD"),'Fleet Tech - Tech'!I$3,IF($F28="CL",'Fleet Tech - Tech'!I$4,IF($F28="CA",'Fleet Tech - Tech'!I$5,IF($F28="BC",'Fleet Tech - Tech'!I$6,IF($F28="BB",'Fleet Tech - Tech'!I$7,IF($F28="CVL",'Fleet Tech - Tech'!I$8,IF($F28="CV",'Fleet Tech - Tech'!I$9,IF($F28="SS",'Fleet Tech - Tech'!I$10,IF($F28="BBV",'Fleet Tech - Tech'!I$11,IF($F28="CB",'Fleet Tech - Tech'!I$15,IF($F28="AE",'Fleet Tech - Tech'!I$16,IF($F28="IX",'Fleet Tech - Tech'!I$17,IF($F28="BM",'Fleet Tech - Tech'!I$13,IF($F28="AR",'Fleet Tech - Tech'!I$12,IF($F28="SSV",'Fleet Tech - Tech'!I$14,"nil"))))))))))))))),0)</f>
        <v>0</v>
      </c>
      <c r="BC28" s="12">
        <f>IF($H28=3,IF(OR($F28="DDV",$F28="DDG",$F28="DD"),'Fleet Tech - Tech'!J$3,IF($F28="CL",'Fleet Tech - Tech'!J$4,IF($F28="CA",'Fleet Tech - Tech'!J$5,IF($F28="BC",'Fleet Tech - Tech'!J$6,IF($F28="BB",'Fleet Tech - Tech'!J$7,IF($F28="CVL",'Fleet Tech - Tech'!J$8,IF($F28="CV",'Fleet Tech - Tech'!J$9,IF($F28="SS",'Fleet Tech - Tech'!J$10,IF($F28="BBV",'Fleet Tech - Tech'!J$11,IF($F28="CB",'Fleet Tech - Tech'!J$15,IF($F28="AE",'Fleet Tech - Tech'!J$16,IF($F28="IX",'Fleet Tech - Tech'!J$17,IF($F28="BM",'Fleet Tech - Tech'!J$13,IF($F28="AR",'Fleet Tech - Tech'!J$12,IF($F28="SSV",'Fleet Tech - Tech'!J$14,"nil"))))))))))))))),0)</f>
        <v>0</v>
      </c>
      <c r="BD28" s="12">
        <f>IF($H28=3,IF(OR($F28="DDV",$F28="DDG",$F28="DD"),'Fleet Tech - Tech'!K$3,IF($F28="CL",'Fleet Tech - Tech'!K$4,IF($F28="CA",'Fleet Tech - Tech'!K$5,IF($F28="BC",'Fleet Tech - Tech'!K$6,IF($F28="BB",'Fleet Tech - Tech'!K$7,IF($F28="CVL",'Fleet Tech - Tech'!K$8,IF($F28="CV",'Fleet Tech - Tech'!K$9,IF($F28="SS",'Fleet Tech - Tech'!K$10,IF($F28="BBV",'Fleet Tech - Tech'!K$11,IF($F28="CB",'Fleet Tech - Tech'!K$15,IF($F28="AE",'Fleet Tech - Tech'!K$16,IF($F28="IX",'Fleet Tech - Tech'!K$17,IF($F28="BM",'Fleet Tech - Tech'!K$13,IF($F28="AR",'Fleet Tech - Tech'!K$12,IF($F28="SSV",'Fleet Tech - Tech'!K$14,"nil"))))))))))))))),0)</f>
        <v>0</v>
      </c>
      <c r="BE28" s="12">
        <f>IF($H28=3,IF(OR($F28="DDV",$F28="DDG",$F28="DD"),'Fleet Tech - Tech'!L$3,IF($F28="CL",'Fleet Tech - Tech'!L$4,IF($F28="CA",'Fleet Tech - Tech'!L$5,IF($F28="BC",'Fleet Tech - Tech'!L$6,IF($F28="BB",'Fleet Tech - Tech'!L$7,IF($F28="CVL",'Fleet Tech - Tech'!L$8,IF($F28="CV",'Fleet Tech - Tech'!L$9,IF($F28="SS",'Fleet Tech - Tech'!L$10,IF($F28="BBV",'Fleet Tech - Tech'!L$11,IF($F28="CB",'Fleet Tech - Tech'!L$15,IF($F28="AE",'Fleet Tech - Tech'!L$16,IF($F28="IX",'Fleet Tech - Tech'!L$17,IF($F28="BM",'Fleet Tech - Tech'!L$13,IF($F28="AR",'Fleet Tech - Tech'!L$12,IF($F28="SSV",'Fleet Tech - Tech'!L$14,"nil"))))))))))))))),0)</f>
        <v>0</v>
      </c>
      <c r="BF28" s="12">
        <f>IF($H28=3,IF(OR($F28="DDV",$F28="DDG",$F28="DD"),'Fleet Tech - Tech'!M$3,IF($F28="CL",'Fleet Tech - Tech'!M$4,IF($F28="CA",'Fleet Tech - Tech'!M$5,IF($F28="BC",'Fleet Tech - Tech'!M$6,IF($F28="BB",'Fleet Tech - Tech'!M$7,IF($F28="CVL",'Fleet Tech - Tech'!M$8,IF($F28="CV",'Fleet Tech - Tech'!M$9,IF($F28="SS",'Fleet Tech - Tech'!M$10,IF($F28="BBV",'Fleet Tech - Tech'!M$11,IF($F28="CB",'Fleet Tech - Tech'!M$15,IF($F28="AE",'Fleet Tech - Tech'!M$16,IF($F28="IX",'Fleet Tech - Tech'!M$17,IF($F28="BM",'Fleet Tech - Tech'!M$13,IF($F28="AR",'Fleet Tech - Tech'!M$12,IF($F28="SSV",'Fleet Tech - Tech'!M$14,"nil"))))))))))))))),0)</f>
        <v>0</v>
      </c>
      <c r="BG28" s="12">
        <f>IF($H28=3,IF(OR($F28="DDV",$F28="DDG",$F28="DD"),'Fleet Tech - Tech'!N$3,IF($F28="CL",'Fleet Tech - Tech'!N$4,IF($F28="CA",'Fleet Tech - Tech'!N$5,IF($F28="BC",'Fleet Tech - Tech'!N$6,IF($F28="BB",'Fleet Tech - Tech'!N$7,IF($F28="CVL",'Fleet Tech - Tech'!N$8,IF($F28="CV",'Fleet Tech - Tech'!N$9,IF($F28="SS",'Fleet Tech - Tech'!N$10,IF($F28="BBV",'Fleet Tech - Tech'!N$11,IF($F28="CB",'Fleet Tech - Tech'!N$15,IF($F28="AE",'Fleet Tech - Tech'!N$16,IF($F28="IX",'Fleet Tech - Tech'!N$17,IF($F28="BM",'Fleet Tech - Tech'!N$13,IF($F28="AR",'Fleet Tech - Tech'!N$12,IF($F28="SSV",'Fleet Tech - Tech'!N$14,"nil"))))))))))))))),0)</f>
        <v>0</v>
      </c>
      <c r="BH28" s="28"/>
      <c r="BI28" s="12">
        <v>737</v>
      </c>
      <c r="BJ28" s="12">
        <v>25</v>
      </c>
      <c r="BK28" s="12">
        <v>64</v>
      </c>
      <c r="BL28" s="12">
        <v>101</v>
      </c>
      <c r="BM28" s="12">
        <v>45</v>
      </c>
      <c r="BN28" s="12">
        <v>174</v>
      </c>
      <c r="BO28" s="12">
        <v>0</v>
      </c>
      <c r="BP28" s="12">
        <v>0</v>
      </c>
      <c r="BQ28" s="12">
        <v>44</v>
      </c>
      <c r="BR28" s="12">
        <v>4</v>
      </c>
      <c r="BS28" s="12">
        <v>95</v>
      </c>
      <c r="BT28" s="12">
        <v>125</v>
      </c>
      <c r="BU28" s="12">
        <v>110</v>
      </c>
      <c r="BV28" s="12">
        <v>10</v>
      </c>
      <c r="BW28" s="28"/>
      <c r="BX28" s="12">
        <v>0</v>
      </c>
      <c r="BY28" s="12">
        <v>0</v>
      </c>
      <c r="BZ28" s="12">
        <v>-1</v>
      </c>
      <c r="CA28" s="12">
        <v>-1</v>
      </c>
      <c r="CB28" s="12">
        <v>-1</v>
      </c>
      <c r="CC28" s="12">
        <v>-1</v>
      </c>
      <c r="CD28" s="12">
        <v>-1</v>
      </c>
      <c r="CE28" s="12">
        <v>-1</v>
      </c>
      <c r="CF28" s="12">
        <v>-1</v>
      </c>
      <c r="CG28" s="12">
        <v>-1</v>
      </c>
      <c r="CH28" s="12">
        <v>-1</v>
      </c>
      <c r="CI28" s="12">
        <v>-1</v>
      </c>
      <c r="CJ28" s="47"/>
      <c r="CK28" s="48">
        <f>IF(BX28=5,320,IF(BX28=4,195,IF(BX28=3,132,IF(BX28=2,90,IF(BX28=1,58,IF(BX28=-1,0,35))))))</f>
        <v>35</v>
      </c>
      <c r="CL28" s="48">
        <f>IF(BX28=5,20,IF(BX28=4,15,IF(BX28=3,12,IF(BX28=2,10,IF(BX28=1,8,IF(BX28=-1,0,5))))))</f>
        <v>5</v>
      </c>
      <c r="CM28" s="48">
        <f>IF(BZ28=5,320,IF(BZ28=4,195,IF(BZ28=3,132,IF(BZ28=2,90,IF(BZ28=1,58,IF(BZ28=-1,0,35))))))</f>
        <v>0</v>
      </c>
      <c r="CN28" s="48">
        <f>IF(BZ28=5,20,IF(BZ28=4,15,IF(BZ28=3,12,IF(BZ28=2,10,IF(BZ28=1,8,IF(BZ28=-1,0,5))))))</f>
        <v>0</v>
      </c>
      <c r="CO28" s="48">
        <f>IF(CB28=5,320,IF(CB28=4,195,IF(CB28=3,132,IF(CB28=2,90,IF(CB28=1,58,IF(CB28=-1,0,35))))))</f>
        <v>0</v>
      </c>
      <c r="CP28" s="48">
        <f>IF(CB28=5,20,IF(CB28=4,15,IF(CB28=3,12,IF(CB28=2,10,IF(CB28=1,8,IF(CB28=-1,0,5))))))</f>
        <v>0</v>
      </c>
      <c r="CQ28" s="48">
        <f>IF(CD28=5,320,IF(CD28=4,195,IF(CD28=3,132,IF(CD28=2,90,IF(CD28=1,58,IF(CD28=-1,0,35))))))</f>
        <v>0</v>
      </c>
      <c r="CR28" s="48">
        <f>IF(CD28=5,20,IF(CD28=4,15,IF(CD28=3,12,IF(CD28=2,10,IF(CD28=1,8,IF(CD28=-1,0,5))))))</f>
        <v>0</v>
      </c>
      <c r="CS28" s="48">
        <f>IF(CF28=5,320,IF(CF28=4,195,IF(CF28=3,132,IF(CF28=2,90,IF(CF28=1,58,IF(CF28=-1,0,35))))))</f>
        <v>0</v>
      </c>
      <c r="CT28" s="48">
        <f>IF(CF28=5,20,IF(CF28=4,15,IF(CF28=3,12,IF(CF28=2,10,IF(CF28=1,8,IF(CF28=-1,0,5))))))</f>
        <v>0</v>
      </c>
      <c r="CU28" s="48">
        <f>IF(CH28=5,320,IF(CH28=4,195,IF(CH28=3,132,IF(CH28=2,90,IF(CH28=1,58,IF(CH28=-1,0,35))))))</f>
        <v>0</v>
      </c>
      <c r="CV28" s="48">
        <f>IF(CH28=5,20,IF(CH28=4,15,IF(CH28=3,12,IF(CH28=2,10,IF(CH28=1,8,IF(CH28=-1,0,5))))))</f>
        <v>0</v>
      </c>
      <c r="CW28" s="48">
        <f>IF(BY28&gt;10,(BY28/10)-ROUNDDOWN(BY28/10,0),0)+IF(CA28&gt;10,(CA28/10)-ROUNDDOWN(CA28/10,0),0)+IF(CC28&gt;10,(CC28/10)-ROUNDDOWN(CC28/10,0),0)+IF(CE28&gt;10,(CE28/10)-ROUNDDOWN(CE28/10,0),0)+IF(CG28&gt;10,(CG28/10)-ROUNDDOWN(CG28/10,0),0)+IF(CI28&gt;10,(CI28/10)-ROUNDDOWN(CI28/10,0),0)</f>
        <v>0</v>
      </c>
      <c r="CX28" s="48">
        <f>1+(CW28/10)</f>
        <v>1</v>
      </c>
    </row>
    <row r="29" ht="20.05" customHeight="1">
      <c r="A29" t="s" s="43">
        <v>301</v>
      </c>
      <c r="B29" s="49"/>
      <c r="C29" t="s" s="45">
        <v>73</v>
      </c>
      <c r="D29" s="13">
        <v>4</v>
      </c>
      <c r="E29" t="s" s="15">
        <v>232</v>
      </c>
      <c r="F29" t="s" s="15">
        <v>233</v>
      </c>
      <c r="G29" t="s" s="15">
        <v>282</v>
      </c>
      <c r="H29" s="12">
        <v>0</v>
      </c>
      <c r="I29" t="s" s="15">
        <v>277</v>
      </c>
      <c r="J29" s="12">
        <v>42</v>
      </c>
      <c r="K29" t="s" s="14">
        <v>236</v>
      </c>
      <c r="L29" t="s" s="15">
        <v>237</v>
      </c>
      <c r="M29" t="s" s="15">
        <v>19</v>
      </c>
      <c r="N29" s="46">
        <f>ROUND((SUM(AA29,T29:Y29,AC29:AE29,Z29*10)-AB29*15)*(IF(K29="Heavy",0.15,IF(K29="Medium",0,IF(K29="Light",-0.15,10)))+1),0)</f>
        <v>454</v>
      </c>
      <c r="O29" s="46">
        <v>870</v>
      </c>
      <c r="P29" s="46">
        <f>ROUNDDOWN((BI29+AU29+AG29)/5,0)+(BJ29+AV29+AH29)+(BN29+AZ29+AL29)+(BO29+BA29+AM29)+(BK29+AW29+AI29)+(BS29+BE29+AQ29)+(BL29+AX29+AJ29)+(BQ29+BC29+AO29)+(2*((BT29+BF29+AR29)+(BU29+BG29+AS29)))+(CK29+CM29+CO29+CQ29+CS29+CU29)+(CL29*BY29)+(CN29*CA29)+(CP29+CC29)+(CR29+CE29)+(CT29+CG29)+(CV29+CI29)+BV29</f>
        <v>1200</v>
      </c>
      <c r="Q29" s="46">
        <f>ROUNDDOWN(((S29/5)+T29+X29+Y29+U29+AC29+V29+AA29+(2*(AD29+AE29))+CK29+CM29+CO29+CQ29+CS29+CU29+(CL29*BX29)+(CN29*BZ29)+(CP29*CB29)+(CR29*CD29)+(CT29*CF29)+(CV29*CH29))*CX29,0)</f>
        <v>869</v>
      </c>
      <c r="R29" s="46">
        <f>ROUNDDOWN(AVERAGE(P29:Q29),0)</f>
        <v>1034</v>
      </c>
      <c r="S29" s="12">
        <f>AG29+AU29+BI29</f>
        <v>763</v>
      </c>
      <c r="T29" s="12">
        <f>AH29+AV29+BJ29</f>
        <v>37</v>
      </c>
      <c r="U29" s="12">
        <f>AI29+AW29+BK29</f>
        <v>108</v>
      </c>
      <c r="V29" s="12">
        <f>AJ29+AX29+BL29</f>
        <v>30</v>
      </c>
      <c r="W29" s="12">
        <f>AK29+AY29+BM29</f>
        <v>53</v>
      </c>
      <c r="X29" s="12">
        <f>AL29+AZ29+BN29</f>
        <v>79</v>
      </c>
      <c r="Y29" s="12">
        <f>AM29+BA29+BO29</f>
        <v>0</v>
      </c>
      <c r="Z29" s="12">
        <f>AN29+BB29+BP29</f>
        <v>0</v>
      </c>
      <c r="AA29" s="12">
        <f>AO29+BC29+BQ29</f>
        <v>35</v>
      </c>
      <c r="AB29" s="12">
        <f>AP29+BD29+BR29</f>
        <v>2</v>
      </c>
      <c r="AC29" s="12">
        <f>AQ29+BE29+BS29</f>
        <v>86</v>
      </c>
      <c r="AD29" s="12">
        <f>AR29+BF29+BT29</f>
        <v>59</v>
      </c>
      <c r="AE29" s="12">
        <f>AS29+BG29+BU29</f>
        <v>77</v>
      </c>
      <c r="AF29" s="28"/>
      <c r="AG29" s="12">
        <v>0</v>
      </c>
      <c r="AH29" s="12">
        <v>0</v>
      </c>
      <c r="AI29" s="12">
        <v>0</v>
      </c>
      <c r="AJ29" s="12">
        <v>0</v>
      </c>
      <c r="AK29" s="12">
        <v>0</v>
      </c>
      <c r="AL29" s="12">
        <v>0</v>
      </c>
      <c r="AM29" s="12">
        <v>0</v>
      </c>
      <c r="AN29" s="12">
        <v>0</v>
      </c>
      <c r="AO29" s="12">
        <v>0</v>
      </c>
      <c r="AP29" s="12">
        <v>0</v>
      </c>
      <c r="AQ29" s="12">
        <v>0</v>
      </c>
      <c r="AR29" s="12">
        <v>0</v>
      </c>
      <c r="AS29" s="12">
        <v>0</v>
      </c>
      <c r="AT29" s="28"/>
      <c r="AU29" s="12">
        <f>IF($H29=3,IF(OR($F29="DDV",$F29="DDG",$F29="DD"),'Fleet Tech - Tech'!B$3,IF($F29="CL",'Fleet Tech - Tech'!B$4,IF($F29="CA",'Fleet Tech - Tech'!B$5,IF($F29="BC",'Fleet Tech - Tech'!B$6,IF($F29="BB",'Fleet Tech - Tech'!B$7,IF($F29="CVL",'Fleet Tech - Tech'!B$8,IF($F29="CV",'Fleet Tech - Tech'!B$9,IF($F29="SS",'Fleet Tech - Tech'!B$10,IF($F29="BBV",'Fleet Tech - Tech'!B$11,IF($F29="CB",'Fleet Tech - Tech'!B$15,IF($F29="AE",'Fleet Tech - Tech'!B$16,IF($F29="IX",'Fleet Tech - Tech'!B$17,IF($F29="BM",'Fleet Tech - Tech'!B$13,IF($F29="AR",'Fleet Tech - Tech'!B$12,IF($F29="SSV",'Fleet Tech - Tech'!B$14,"nil"))))))))))))))),0)</f>
        <v>0</v>
      </c>
      <c r="AV29" s="12">
        <f>IF($H29=3,IF(OR($F29="DDV",$F29="DDG",$F29="DD"),'Fleet Tech - Tech'!C$3,IF($F29="CL",'Fleet Tech - Tech'!C$4,IF($F29="CA",'Fleet Tech - Tech'!C$5,IF($F29="BC",'Fleet Tech - Tech'!C$6,IF($F29="BB",'Fleet Tech - Tech'!C$7,IF($F29="CVL",'Fleet Tech - Tech'!C$8,IF($F29="CV",'Fleet Tech - Tech'!C$9,IF($F29="SS",'Fleet Tech - Tech'!C$10,IF($F29="BBV",'Fleet Tech - Tech'!C$11,IF($F29="CB",'Fleet Tech - Tech'!C$15,IF($F29="AE",'Fleet Tech - Tech'!C$16,IF($F29="IX",'Fleet Tech - Tech'!C$17,IF($F29="BM",'Fleet Tech - Tech'!C$13,IF($F29="AR",'Fleet Tech - Tech'!C$12,IF($F29="SSV",'Fleet Tech - Tech'!C$14,"nil"))))))))))))))),0)</f>
        <v>0</v>
      </c>
      <c r="AW29" s="12">
        <f>IF($H29=3,IF(OR($F29="DDV",$F29="DDG",$F29="DD"),'Fleet Tech - Tech'!D$3,IF($F29="CL",'Fleet Tech - Tech'!D$4,IF($F29="CA",'Fleet Tech - Tech'!D$5,IF($F29="BC",'Fleet Tech - Tech'!D$6,IF($F29="BB",'Fleet Tech - Tech'!D$7,IF($F29="CVL",'Fleet Tech - Tech'!D$8,IF($F29="CV",'Fleet Tech - Tech'!D$9,IF($F29="SS",'Fleet Tech - Tech'!D$10,IF($F29="BBV",'Fleet Tech - Tech'!D$11,IF($F29="CB",'Fleet Tech - Tech'!D$15,IF($F29="AE",'Fleet Tech - Tech'!D$16,IF($F29="IX",'Fleet Tech - Tech'!D$17,IF($F29="BM",'Fleet Tech - Tech'!D$13,IF($F29="AR",'Fleet Tech - Tech'!D$12,IF($F29="SSV",'Fleet Tech - Tech'!D$14,"nil"))))))))))))))),0)</f>
        <v>0</v>
      </c>
      <c r="AX29" s="12">
        <f>IF($H29=3,IF(OR($F29="DDV",$F29="DDG",$F29="DD"),'Fleet Tech - Tech'!E$3,IF($F29="CL",'Fleet Tech - Tech'!E$4,IF($F29="CA",'Fleet Tech - Tech'!E$5,IF($F29="BC",'Fleet Tech - Tech'!E$6,IF($F29="BB",'Fleet Tech - Tech'!E$7,IF($F29="CVL",'Fleet Tech - Tech'!E$8,IF($F29="CV",'Fleet Tech - Tech'!E$9,IF($F29="SS",'Fleet Tech - Tech'!E$10,IF($F29="BBV",'Fleet Tech - Tech'!E$11,IF($F29="CB",'Fleet Tech - Tech'!E$15,IF($F29="AE",'Fleet Tech - Tech'!E$16,IF($F29="IX",'Fleet Tech - Tech'!E$17,IF($F29="BM",'Fleet Tech - Tech'!E$13,IF($F29="AR",'Fleet Tech - Tech'!E$12,IF($F29="SSV",'Fleet Tech - Tech'!E$14,"nil"))))))))))))))),0)</f>
        <v>0</v>
      </c>
      <c r="AY29" s="12">
        <f>IF($H29=3,IF(OR($F29="DDV",$F29="DDG",$F29="DD"),'Fleet Tech - Tech'!F$3,IF($F29="CL",'Fleet Tech - Tech'!F$4,IF($F29="CA",'Fleet Tech - Tech'!F$5,IF($F29="BC",'Fleet Tech - Tech'!F$6,IF($F29="BB",'Fleet Tech - Tech'!F$7,IF($F29="CVL",'Fleet Tech - Tech'!F$8,IF($F29="CV",'Fleet Tech - Tech'!F$9,IF($F29="SS",'Fleet Tech - Tech'!F$10,IF($F29="BBV",'Fleet Tech - Tech'!F$11,IF($F29="CB",'Fleet Tech - Tech'!F$15,IF($F29="AE",'Fleet Tech - Tech'!F$16,IF($F29="IX",'Fleet Tech - Tech'!F$17,IF($F29="BM",'Fleet Tech - Tech'!F$13,IF($F29="AR",'Fleet Tech - Tech'!F$12,IF($F29="SSV",'Fleet Tech - Tech'!F$14,"nil"))))))))))))))),0)</f>
        <v>0</v>
      </c>
      <c r="AZ29" s="12">
        <f>IF($H29=3,IF(OR($F29="DDV",$F29="DDG",$F29="DD"),'Fleet Tech - Tech'!G$3,IF($F29="CL",'Fleet Tech - Tech'!G$4,IF($F29="CA",'Fleet Tech - Tech'!G$5,IF($F29="BC",'Fleet Tech - Tech'!G$6,IF($F29="BB",'Fleet Tech - Tech'!G$7,IF($F29="CVL",'Fleet Tech - Tech'!G$8,IF($F29="CV",'Fleet Tech - Tech'!G$9,IF($F29="SS",'Fleet Tech - Tech'!G$10,IF($F29="BBV",'Fleet Tech - Tech'!G$11,IF($F29="CB",'Fleet Tech - Tech'!G$15,IF($F29="AE",'Fleet Tech - Tech'!G$16,IF($F29="IX",'Fleet Tech - Tech'!G$17,IF($F29="BM",'Fleet Tech - Tech'!G$13,IF($F29="AR",'Fleet Tech - Tech'!G$12,IF($F29="SSV",'Fleet Tech - Tech'!G$14,"nil"))))))))))))))),0)</f>
        <v>0</v>
      </c>
      <c r="BA29" s="12">
        <f>IF($H29=3,IF(OR($F29="DDV",$F29="DDG",$F29="DD"),'Fleet Tech - Tech'!H$3,IF($F29="CL",'Fleet Tech - Tech'!H$4,IF($F29="CA",'Fleet Tech - Tech'!H$5,IF($F29="BC",'Fleet Tech - Tech'!H$6,IF($F29="BB",'Fleet Tech - Tech'!H$7,IF($F29="CVL",'Fleet Tech - Tech'!H$8,IF($F29="CV",'Fleet Tech - Tech'!H$9,IF($F29="SS",'Fleet Tech - Tech'!H$10,IF($F29="BBV",'Fleet Tech - Tech'!H$11,IF($F29="CB",'Fleet Tech - Tech'!H$15,IF($F29="AE",'Fleet Tech - Tech'!H$16,IF($F29="IX",'Fleet Tech - Tech'!H$17,IF($F29="BM",'Fleet Tech - Tech'!H$13,IF($F29="AR",'Fleet Tech - Tech'!H$12,IF($F29="SSV",'Fleet Tech - Tech'!H$14,"nil"))))))))))))))),0)</f>
        <v>0</v>
      </c>
      <c r="BB29" s="12">
        <f>IF($H29=3,IF(OR($F29="DDV",$F29="DDG",$F29="DD"),'Fleet Tech - Tech'!I$3,IF($F29="CL",'Fleet Tech - Tech'!I$4,IF($F29="CA",'Fleet Tech - Tech'!I$5,IF($F29="BC",'Fleet Tech - Tech'!I$6,IF($F29="BB",'Fleet Tech - Tech'!I$7,IF($F29="CVL",'Fleet Tech - Tech'!I$8,IF($F29="CV",'Fleet Tech - Tech'!I$9,IF($F29="SS",'Fleet Tech - Tech'!I$10,IF($F29="BBV",'Fleet Tech - Tech'!I$11,IF($F29="CB",'Fleet Tech - Tech'!I$15,IF($F29="AE",'Fleet Tech - Tech'!I$16,IF($F29="IX",'Fleet Tech - Tech'!I$17,IF($F29="BM",'Fleet Tech - Tech'!I$13,IF($F29="AR",'Fleet Tech - Tech'!I$12,IF($F29="SSV",'Fleet Tech - Tech'!I$14,"nil"))))))))))))))),0)</f>
        <v>0</v>
      </c>
      <c r="BC29" s="12">
        <f>IF($H29=3,IF(OR($F29="DDV",$F29="DDG",$F29="DD"),'Fleet Tech - Tech'!J$3,IF($F29="CL",'Fleet Tech - Tech'!J$4,IF($F29="CA",'Fleet Tech - Tech'!J$5,IF($F29="BC",'Fleet Tech - Tech'!J$6,IF($F29="BB",'Fleet Tech - Tech'!J$7,IF($F29="CVL",'Fleet Tech - Tech'!J$8,IF($F29="CV",'Fleet Tech - Tech'!J$9,IF($F29="SS",'Fleet Tech - Tech'!J$10,IF($F29="BBV",'Fleet Tech - Tech'!J$11,IF($F29="CB",'Fleet Tech - Tech'!J$15,IF($F29="AE",'Fleet Tech - Tech'!J$16,IF($F29="IX",'Fleet Tech - Tech'!J$17,IF($F29="BM",'Fleet Tech - Tech'!J$13,IF($F29="AR",'Fleet Tech - Tech'!J$12,IF($F29="SSV",'Fleet Tech - Tech'!J$14,"nil"))))))))))))))),0)</f>
        <v>0</v>
      </c>
      <c r="BD29" s="12">
        <f>IF($H29=3,IF(OR($F29="DDV",$F29="DDG",$F29="DD"),'Fleet Tech - Tech'!K$3,IF($F29="CL",'Fleet Tech - Tech'!K$4,IF($F29="CA",'Fleet Tech - Tech'!K$5,IF($F29="BC",'Fleet Tech - Tech'!K$6,IF($F29="BB",'Fleet Tech - Tech'!K$7,IF($F29="CVL",'Fleet Tech - Tech'!K$8,IF($F29="CV",'Fleet Tech - Tech'!K$9,IF($F29="SS",'Fleet Tech - Tech'!K$10,IF($F29="BBV",'Fleet Tech - Tech'!K$11,IF($F29="CB",'Fleet Tech - Tech'!K$15,IF($F29="AE",'Fleet Tech - Tech'!K$16,IF($F29="IX",'Fleet Tech - Tech'!K$17,IF($F29="BM",'Fleet Tech - Tech'!K$13,IF($F29="AR",'Fleet Tech - Tech'!K$12,IF($F29="SSV",'Fleet Tech - Tech'!K$14,"nil"))))))))))))))),0)</f>
        <v>0</v>
      </c>
      <c r="BE29" s="12">
        <f>IF($H29=3,IF(OR($F29="DDV",$F29="DDG",$F29="DD"),'Fleet Tech - Tech'!L$3,IF($F29="CL",'Fleet Tech - Tech'!L$4,IF($F29="CA",'Fleet Tech - Tech'!L$5,IF($F29="BC",'Fleet Tech - Tech'!L$6,IF($F29="BB",'Fleet Tech - Tech'!L$7,IF($F29="CVL",'Fleet Tech - Tech'!L$8,IF($F29="CV",'Fleet Tech - Tech'!L$9,IF($F29="SS",'Fleet Tech - Tech'!L$10,IF($F29="BBV",'Fleet Tech - Tech'!L$11,IF($F29="CB",'Fleet Tech - Tech'!L$15,IF($F29="AE",'Fleet Tech - Tech'!L$16,IF($F29="IX",'Fleet Tech - Tech'!L$17,IF($F29="BM",'Fleet Tech - Tech'!L$13,IF($F29="AR",'Fleet Tech - Tech'!L$12,IF($F29="SSV",'Fleet Tech - Tech'!L$14,"nil"))))))))))))))),0)</f>
        <v>0</v>
      </c>
      <c r="BF29" s="12">
        <f>IF($H29=3,IF(OR($F29="DDV",$F29="DDG",$F29="DD"),'Fleet Tech - Tech'!M$3,IF($F29="CL",'Fleet Tech - Tech'!M$4,IF($F29="CA",'Fleet Tech - Tech'!M$5,IF($F29="BC",'Fleet Tech - Tech'!M$6,IF($F29="BB",'Fleet Tech - Tech'!M$7,IF($F29="CVL",'Fleet Tech - Tech'!M$8,IF($F29="CV",'Fleet Tech - Tech'!M$9,IF($F29="SS",'Fleet Tech - Tech'!M$10,IF($F29="BBV",'Fleet Tech - Tech'!M$11,IF($F29="CB",'Fleet Tech - Tech'!M$15,IF($F29="AE",'Fleet Tech - Tech'!M$16,IF($F29="IX",'Fleet Tech - Tech'!M$17,IF($F29="BM",'Fleet Tech - Tech'!M$13,IF($F29="AR",'Fleet Tech - Tech'!M$12,IF($F29="SSV",'Fleet Tech - Tech'!M$14,"nil"))))))))))))))),0)</f>
        <v>0</v>
      </c>
      <c r="BG29" s="12">
        <f>IF($H29=3,IF(OR($F29="DDV",$F29="DDG",$F29="DD"),'Fleet Tech - Tech'!N$3,IF($F29="CL",'Fleet Tech - Tech'!N$4,IF($F29="CA",'Fleet Tech - Tech'!N$5,IF($F29="BC",'Fleet Tech - Tech'!N$6,IF($F29="BB",'Fleet Tech - Tech'!N$7,IF($F29="CVL",'Fleet Tech - Tech'!N$8,IF($F29="CV",'Fleet Tech - Tech'!N$9,IF($F29="SS",'Fleet Tech - Tech'!N$10,IF($F29="BBV",'Fleet Tech - Tech'!N$11,IF($F29="CB",'Fleet Tech - Tech'!N$15,IF($F29="AE",'Fleet Tech - Tech'!N$16,IF($F29="IX",'Fleet Tech - Tech'!N$17,IF($F29="BM",'Fleet Tech - Tech'!N$13,IF($F29="AR",'Fleet Tech - Tech'!N$12,IF($F29="SSV",'Fleet Tech - Tech'!N$14,"nil"))))))))))))))),0)</f>
        <v>0</v>
      </c>
      <c r="BH29" s="28"/>
      <c r="BI29" s="12">
        <v>763</v>
      </c>
      <c r="BJ29" s="12">
        <v>37</v>
      </c>
      <c r="BK29" s="12">
        <v>108</v>
      </c>
      <c r="BL29" s="12">
        <v>30</v>
      </c>
      <c r="BM29" s="12">
        <v>53</v>
      </c>
      <c r="BN29" s="12">
        <v>79</v>
      </c>
      <c r="BO29" s="12">
        <v>0</v>
      </c>
      <c r="BP29" s="12">
        <v>0</v>
      </c>
      <c r="BQ29" s="12">
        <v>35</v>
      </c>
      <c r="BR29" s="12">
        <v>2</v>
      </c>
      <c r="BS29" s="12">
        <v>86</v>
      </c>
      <c r="BT29" s="12">
        <v>59</v>
      </c>
      <c r="BU29" s="12">
        <v>77</v>
      </c>
      <c r="BV29" s="12">
        <v>335</v>
      </c>
      <c r="BW29" s="28"/>
      <c r="BX29" s="12">
        <v>0</v>
      </c>
      <c r="BY29" s="12">
        <v>0</v>
      </c>
      <c r="BZ29" s="12">
        <v>0</v>
      </c>
      <c r="CA29" s="12">
        <v>0</v>
      </c>
      <c r="CB29" s="12">
        <v>-1</v>
      </c>
      <c r="CC29" s="12">
        <v>-1</v>
      </c>
      <c r="CD29" s="12">
        <v>-1</v>
      </c>
      <c r="CE29" s="12">
        <v>-1</v>
      </c>
      <c r="CF29" s="12">
        <v>-1</v>
      </c>
      <c r="CG29" s="12">
        <v>-1</v>
      </c>
      <c r="CH29" s="12">
        <v>-1</v>
      </c>
      <c r="CI29" s="12">
        <v>-1</v>
      </c>
      <c r="CJ29" s="47"/>
      <c r="CK29" s="48">
        <f>IF(BX29=5,320,IF(BX29=4,195,IF(BX29=3,132,IF(BX29=2,90,IF(BX29=1,58,IF(BX29=-1,0,35))))))</f>
        <v>35</v>
      </c>
      <c r="CL29" s="48">
        <f>IF(BX29=5,20,IF(BX29=4,15,IF(BX29=3,12,IF(BX29=2,10,IF(BX29=1,8,IF(BX29=-1,0,5))))))</f>
        <v>5</v>
      </c>
      <c r="CM29" s="48">
        <f>IF(BZ29=5,320,IF(BZ29=4,195,IF(BZ29=3,132,IF(BZ29=2,90,IF(BZ29=1,58,IF(BZ29=-1,0,35))))))</f>
        <v>35</v>
      </c>
      <c r="CN29" s="48">
        <f>IF(BZ29=5,20,IF(BZ29=4,15,IF(BZ29=3,12,IF(BZ29=2,10,IF(BZ29=1,8,IF(BZ29=-1,0,5))))))</f>
        <v>5</v>
      </c>
      <c r="CO29" s="48">
        <f>IF(CB29=5,320,IF(CB29=4,195,IF(CB29=3,132,IF(CB29=2,90,IF(CB29=1,58,IF(CB29=-1,0,35))))))</f>
        <v>0</v>
      </c>
      <c r="CP29" s="48">
        <f>IF(CB29=5,20,IF(CB29=4,15,IF(CB29=3,12,IF(CB29=2,10,IF(CB29=1,8,IF(CB29=-1,0,5))))))</f>
        <v>0</v>
      </c>
      <c r="CQ29" s="48">
        <f>IF(CD29=5,320,IF(CD29=4,195,IF(CD29=3,132,IF(CD29=2,90,IF(CD29=1,58,IF(CD29=-1,0,35))))))</f>
        <v>0</v>
      </c>
      <c r="CR29" s="48">
        <f>IF(CD29=5,20,IF(CD29=4,15,IF(CD29=3,12,IF(CD29=2,10,IF(CD29=1,8,IF(CD29=-1,0,5))))))</f>
        <v>0</v>
      </c>
      <c r="CS29" s="48">
        <f>IF(CF29=5,320,IF(CF29=4,195,IF(CF29=3,132,IF(CF29=2,90,IF(CF29=1,58,IF(CF29=-1,0,35))))))</f>
        <v>0</v>
      </c>
      <c r="CT29" s="48">
        <f>IF(CF29=5,20,IF(CF29=4,15,IF(CF29=3,12,IF(CF29=2,10,IF(CF29=1,8,IF(CF29=-1,0,5))))))</f>
        <v>0</v>
      </c>
      <c r="CU29" s="48">
        <f>IF(CH29=5,320,IF(CH29=4,195,IF(CH29=3,132,IF(CH29=2,90,IF(CH29=1,58,IF(CH29=-1,0,35))))))</f>
        <v>0</v>
      </c>
      <c r="CV29" s="48">
        <f>IF(CH29=5,20,IF(CH29=4,15,IF(CH29=3,12,IF(CH29=2,10,IF(CH29=1,8,IF(CH29=-1,0,5))))))</f>
        <v>0</v>
      </c>
      <c r="CW29" s="48">
        <f>IF(BY29&gt;10,(BY29/10)-ROUNDDOWN(BY29/10,0),0)+IF(CA29&gt;10,(CA29/10)-ROUNDDOWN(CA29/10,0),0)+IF(CC29&gt;10,(CC29/10)-ROUNDDOWN(CC29/10,0),0)+IF(CE29&gt;10,(CE29/10)-ROUNDDOWN(CE29/10,0),0)+IF(CG29&gt;10,(CG29/10)-ROUNDDOWN(CG29/10,0),0)+IF(CI29&gt;10,(CI29/10)-ROUNDDOWN(CI29/10,0),0)</f>
        <v>0</v>
      </c>
      <c r="CX29" s="48">
        <f>1+(CW29/10)</f>
        <v>1</v>
      </c>
    </row>
    <row r="30" ht="20.05" customHeight="1">
      <c r="A30" t="s" s="43">
        <v>302</v>
      </c>
      <c r="B30" s="49"/>
      <c r="C30" t="s" s="45">
        <v>73</v>
      </c>
      <c r="D30" s="13">
        <v>4</v>
      </c>
      <c r="E30" t="s" s="15">
        <v>232</v>
      </c>
      <c r="F30" t="s" s="15">
        <v>275</v>
      </c>
      <c r="G30" t="s" s="15">
        <v>282</v>
      </c>
      <c r="H30" s="12">
        <v>0</v>
      </c>
      <c r="I30" t="s" s="15">
        <v>277</v>
      </c>
      <c r="J30" s="12">
        <v>13</v>
      </c>
      <c r="K30" t="s" s="14">
        <v>242</v>
      </c>
      <c r="L30" t="s" s="15">
        <v>265</v>
      </c>
      <c r="M30" t="s" s="15">
        <v>22</v>
      </c>
      <c r="N30" s="46">
        <f>ROUND((SUM(AA30,T30:Y30,AC30:AE30,Z30*10)-AB30*15)*(IF(K30="Heavy",0.15,IF(K30="Medium",0,IF(K30="Light",-0.15,10)))+1),0)</f>
        <v>290</v>
      </c>
      <c r="O30" s="46">
        <v>1029</v>
      </c>
      <c r="P30" s="46">
        <f>ROUNDDOWN((BI30+AU30+AG30)/5,0)+(BJ30+AV30+AH30)+(BN30+AZ30+AL30)+(BO30+BA30+AM30)+(BK30+AW30+AI30)+(BS30+BE30+AQ30)+(BL30+AX30+AJ30)+(BQ30+BC30+AO30)+(2*((BT30+BF30+AR30)+(BU30+BG30+AS30)))+(CK30+CM30+CO30+CQ30+CS30+CU30)+(CL30*BY30)+(CN30*CA30)+(CP30+CC30)+(CR30+CE30)+(CT30+CG30)+(CV30+CI30)+BV30</f>
        <v>1309</v>
      </c>
      <c r="Q30" s="46">
        <f>ROUNDDOWN(((S30/5)+T30+X30+Y30+U30+AC30+V30+AA30+(2*(AD30+AE30))+CK30+CM30+CO30+CQ30+CS30+CU30+(CL30*BX30)+(CN30*BZ30)+(CP30*CB30)+(CR30*CD30)+(CT30*CF30)+(CV30*CH30))*CX30,0)</f>
        <v>1017</v>
      </c>
      <c r="R30" s="46">
        <f>ROUNDDOWN(AVERAGE(P30:Q30),0)</f>
        <v>1163</v>
      </c>
      <c r="S30" s="12">
        <f>AG30+AU30+BI30</f>
        <v>1413</v>
      </c>
      <c r="T30" s="12">
        <f>AH30+AV30+BJ30</f>
        <v>53</v>
      </c>
      <c r="U30" s="12">
        <f>AI30+AW30+BK30</f>
        <v>94</v>
      </c>
      <c r="V30" s="12">
        <f>AJ30+AX30+BL30</f>
        <v>0</v>
      </c>
      <c r="W30" s="12">
        <f>AK30+AY30+BM30</f>
        <v>0</v>
      </c>
      <c r="X30" s="12">
        <f>AL30+AZ30+BN30</f>
        <v>41</v>
      </c>
      <c r="Y30" s="12">
        <f>AM30+BA30+BO30</f>
        <v>0</v>
      </c>
      <c r="Z30" s="12">
        <f>AN30+BB30+BP30</f>
        <v>0</v>
      </c>
      <c r="AA30" s="12">
        <f>AO30+BC30+BQ30</f>
        <v>27</v>
      </c>
      <c r="AB30" s="12">
        <f>AP30+BD30+BR30</f>
        <v>3</v>
      </c>
      <c r="AC30" s="12">
        <f>AQ30+BE30+BS30</f>
        <v>56</v>
      </c>
      <c r="AD30" s="12">
        <f>AR30+BF30+BT30</f>
        <v>16</v>
      </c>
      <c r="AE30" s="12">
        <f>AS30+BG30+BU30</f>
        <v>48</v>
      </c>
      <c r="AF30" s="28"/>
      <c r="AG30" s="12">
        <v>427</v>
      </c>
      <c r="AH30" s="28"/>
      <c r="AI30" s="28"/>
      <c r="AJ30" s="28"/>
      <c r="AK30" s="28"/>
      <c r="AL30" s="28"/>
      <c r="AM30" s="28"/>
      <c r="AN30" s="28"/>
      <c r="AO30" s="28"/>
      <c r="AP30" s="28"/>
      <c r="AQ30" s="28"/>
      <c r="AR30" s="12">
        <v>5</v>
      </c>
      <c r="AS30" s="28"/>
      <c r="AT30" s="28"/>
      <c r="AU30" s="12">
        <f>IF($H30=3,IF(OR($F30="DDV",$F30="DDG",$F30="DD"),'Fleet Tech - Tech'!B$3,IF($F30="CL",'Fleet Tech - Tech'!B$4,IF($F30="CA",'Fleet Tech - Tech'!B$5,IF($F30="BC",'Fleet Tech - Tech'!B$6,IF($F30="BB",'Fleet Tech - Tech'!B$7,IF($F30="CVL",'Fleet Tech - Tech'!B$8,IF($F30="CV",'Fleet Tech - Tech'!B$9,IF($F30="SS",'Fleet Tech - Tech'!B$10,IF($F30="BBV",'Fleet Tech - Tech'!B$11,IF($F30="CB",'Fleet Tech - Tech'!B$15,IF($F30="AE",'Fleet Tech - Tech'!B$16,IF($F30="IX",'Fleet Tech - Tech'!B$17,IF($F30="BM",'Fleet Tech - Tech'!B$13,IF($F30="AR",'Fleet Tech - Tech'!B$12,IF($F30="SSV",'Fleet Tech - Tech'!B$14,"nil"))))))))))))))),0)</f>
        <v>0</v>
      </c>
      <c r="AV30" s="12">
        <f>IF($H30=3,IF(OR($F30="DDV",$F30="DDG",$F30="DD"),'Fleet Tech - Tech'!C$3,IF($F30="CL",'Fleet Tech - Tech'!C$4,IF($F30="CA",'Fleet Tech - Tech'!C$5,IF($F30="BC",'Fleet Tech - Tech'!C$6,IF($F30="BB",'Fleet Tech - Tech'!C$7,IF($F30="CVL",'Fleet Tech - Tech'!C$8,IF($F30="CV",'Fleet Tech - Tech'!C$9,IF($F30="SS",'Fleet Tech - Tech'!C$10,IF($F30="BBV",'Fleet Tech - Tech'!C$11,IF($F30="CB",'Fleet Tech - Tech'!C$15,IF($F30="AE",'Fleet Tech - Tech'!C$16,IF($F30="IX",'Fleet Tech - Tech'!C$17,IF($F30="BM",'Fleet Tech - Tech'!C$13,IF($F30="AR",'Fleet Tech - Tech'!C$12,IF($F30="SSV",'Fleet Tech - Tech'!C$14,"nil"))))))))))))))),0)</f>
        <v>0</v>
      </c>
      <c r="AW30" s="12">
        <f>IF($H30=3,IF(OR($F30="DDV",$F30="DDG",$F30="DD"),'Fleet Tech - Tech'!D$3,IF($F30="CL",'Fleet Tech - Tech'!D$4,IF($F30="CA",'Fleet Tech - Tech'!D$5,IF($F30="BC",'Fleet Tech - Tech'!D$6,IF($F30="BB",'Fleet Tech - Tech'!D$7,IF($F30="CVL",'Fleet Tech - Tech'!D$8,IF($F30="CV",'Fleet Tech - Tech'!D$9,IF($F30="SS",'Fleet Tech - Tech'!D$10,IF($F30="BBV",'Fleet Tech - Tech'!D$11,IF($F30="CB",'Fleet Tech - Tech'!D$15,IF($F30="AE",'Fleet Tech - Tech'!D$16,IF($F30="IX",'Fleet Tech - Tech'!D$17,IF($F30="BM",'Fleet Tech - Tech'!D$13,IF($F30="AR",'Fleet Tech - Tech'!D$12,IF($F30="SSV",'Fleet Tech - Tech'!D$14,"nil"))))))))))))))),0)</f>
        <v>0</v>
      </c>
      <c r="AX30" s="12">
        <f>IF($H30=3,IF(OR($F30="DDV",$F30="DDG",$F30="DD"),'Fleet Tech - Tech'!E$3,IF($F30="CL",'Fleet Tech - Tech'!E$4,IF($F30="CA",'Fleet Tech - Tech'!E$5,IF($F30="BC",'Fleet Tech - Tech'!E$6,IF($F30="BB",'Fleet Tech - Tech'!E$7,IF($F30="CVL",'Fleet Tech - Tech'!E$8,IF($F30="CV",'Fleet Tech - Tech'!E$9,IF($F30="SS",'Fleet Tech - Tech'!E$10,IF($F30="BBV",'Fleet Tech - Tech'!E$11,IF($F30="CB",'Fleet Tech - Tech'!E$15,IF($F30="AE",'Fleet Tech - Tech'!E$16,IF($F30="IX",'Fleet Tech - Tech'!E$17,IF($F30="BM",'Fleet Tech - Tech'!E$13,IF($F30="AR",'Fleet Tech - Tech'!E$12,IF($F30="SSV",'Fleet Tech - Tech'!E$14,"nil"))))))))))))))),0)</f>
        <v>0</v>
      </c>
      <c r="AY30" s="12">
        <f>IF($H30=3,IF(OR($F30="DDV",$F30="DDG",$F30="DD"),'Fleet Tech - Tech'!F$3,IF($F30="CL",'Fleet Tech - Tech'!F$4,IF($F30="CA",'Fleet Tech - Tech'!F$5,IF($F30="BC",'Fleet Tech - Tech'!F$6,IF($F30="BB",'Fleet Tech - Tech'!F$7,IF($F30="CVL",'Fleet Tech - Tech'!F$8,IF($F30="CV",'Fleet Tech - Tech'!F$9,IF($F30="SS",'Fleet Tech - Tech'!F$10,IF($F30="BBV",'Fleet Tech - Tech'!F$11,IF($F30="CB",'Fleet Tech - Tech'!F$15,IF($F30="AE",'Fleet Tech - Tech'!F$16,IF($F30="IX",'Fleet Tech - Tech'!F$17,IF($F30="BM",'Fleet Tech - Tech'!F$13,IF($F30="AR",'Fleet Tech - Tech'!F$12,IF($F30="SSV",'Fleet Tech - Tech'!F$14,"nil"))))))))))))))),0)</f>
        <v>0</v>
      </c>
      <c r="AZ30" s="12">
        <f>IF($H30=3,IF(OR($F30="DDV",$F30="DDG",$F30="DD"),'Fleet Tech - Tech'!G$3,IF($F30="CL",'Fleet Tech - Tech'!G$4,IF($F30="CA",'Fleet Tech - Tech'!G$5,IF($F30="BC",'Fleet Tech - Tech'!G$6,IF($F30="BB",'Fleet Tech - Tech'!G$7,IF($F30="CVL",'Fleet Tech - Tech'!G$8,IF($F30="CV",'Fleet Tech - Tech'!G$9,IF($F30="SS",'Fleet Tech - Tech'!G$10,IF($F30="BBV",'Fleet Tech - Tech'!G$11,IF($F30="CB",'Fleet Tech - Tech'!G$15,IF($F30="AE",'Fleet Tech - Tech'!G$16,IF($F30="IX",'Fleet Tech - Tech'!G$17,IF($F30="BM",'Fleet Tech - Tech'!G$13,IF($F30="AR",'Fleet Tech - Tech'!G$12,IF($F30="SSV",'Fleet Tech - Tech'!G$14,"nil"))))))))))))))),0)</f>
        <v>0</v>
      </c>
      <c r="BA30" s="12">
        <f>IF($H30=3,IF(OR($F30="DDV",$F30="DDG",$F30="DD"),'Fleet Tech - Tech'!H$3,IF($F30="CL",'Fleet Tech - Tech'!H$4,IF($F30="CA",'Fleet Tech - Tech'!H$5,IF($F30="BC",'Fleet Tech - Tech'!H$6,IF($F30="BB",'Fleet Tech - Tech'!H$7,IF($F30="CVL",'Fleet Tech - Tech'!H$8,IF($F30="CV",'Fleet Tech - Tech'!H$9,IF($F30="SS",'Fleet Tech - Tech'!H$10,IF($F30="BBV",'Fleet Tech - Tech'!H$11,IF($F30="CB",'Fleet Tech - Tech'!H$15,IF($F30="AE",'Fleet Tech - Tech'!H$16,IF($F30="IX",'Fleet Tech - Tech'!H$17,IF($F30="BM",'Fleet Tech - Tech'!H$13,IF($F30="AR",'Fleet Tech - Tech'!H$12,IF($F30="SSV",'Fleet Tech - Tech'!H$14,"nil"))))))))))))))),0)</f>
        <v>0</v>
      </c>
      <c r="BB30" s="12">
        <f>IF($H30=3,IF(OR($F30="DDV",$F30="DDG",$F30="DD"),'Fleet Tech - Tech'!I$3,IF($F30="CL",'Fleet Tech - Tech'!I$4,IF($F30="CA",'Fleet Tech - Tech'!I$5,IF($F30="BC",'Fleet Tech - Tech'!I$6,IF($F30="BB",'Fleet Tech - Tech'!I$7,IF($F30="CVL",'Fleet Tech - Tech'!I$8,IF($F30="CV",'Fleet Tech - Tech'!I$9,IF($F30="SS",'Fleet Tech - Tech'!I$10,IF($F30="BBV",'Fleet Tech - Tech'!I$11,IF($F30="CB",'Fleet Tech - Tech'!I$15,IF($F30="AE",'Fleet Tech - Tech'!I$16,IF($F30="IX",'Fleet Tech - Tech'!I$17,IF($F30="BM",'Fleet Tech - Tech'!I$13,IF($F30="AR",'Fleet Tech - Tech'!I$12,IF($F30="SSV",'Fleet Tech - Tech'!I$14,"nil"))))))))))))))),0)</f>
        <v>0</v>
      </c>
      <c r="BC30" s="12">
        <f>IF($H30=3,IF(OR($F30="DDV",$F30="DDG",$F30="DD"),'Fleet Tech - Tech'!J$3,IF($F30="CL",'Fleet Tech - Tech'!J$4,IF($F30="CA",'Fleet Tech - Tech'!J$5,IF($F30="BC",'Fleet Tech - Tech'!J$6,IF($F30="BB",'Fleet Tech - Tech'!J$7,IF($F30="CVL",'Fleet Tech - Tech'!J$8,IF($F30="CV",'Fleet Tech - Tech'!J$9,IF($F30="SS",'Fleet Tech - Tech'!J$10,IF($F30="BBV",'Fleet Tech - Tech'!J$11,IF($F30="CB",'Fleet Tech - Tech'!J$15,IF($F30="AE",'Fleet Tech - Tech'!J$16,IF($F30="IX",'Fleet Tech - Tech'!J$17,IF($F30="BM",'Fleet Tech - Tech'!J$13,IF($F30="AR",'Fleet Tech - Tech'!J$12,IF($F30="SSV",'Fleet Tech - Tech'!J$14,"nil"))))))))))))))),0)</f>
        <v>0</v>
      </c>
      <c r="BD30" s="12">
        <f>IF($H30=3,IF(OR($F30="DDV",$F30="DDG",$F30="DD"),'Fleet Tech - Tech'!K$3,IF($F30="CL",'Fleet Tech - Tech'!K$4,IF($F30="CA",'Fleet Tech - Tech'!K$5,IF($F30="BC",'Fleet Tech - Tech'!K$6,IF($F30="BB",'Fleet Tech - Tech'!K$7,IF($F30="CVL",'Fleet Tech - Tech'!K$8,IF($F30="CV",'Fleet Tech - Tech'!K$9,IF($F30="SS",'Fleet Tech - Tech'!K$10,IF($F30="BBV",'Fleet Tech - Tech'!K$11,IF($F30="CB",'Fleet Tech - Tech'!K$15,IF($F30="AE",'Fleet Tech - Tech'!K$16,IF($F30="IX",'Fleet Tech - Tech'!K$17,IF($F30="BM",'Fleet Tech - Tech'!K$13,IF($F30="AR",'Fleet Tech - Tech'!K$12,IF($F30="SSV",'Fleet Tech - Tech'!K$14,"nil"))))))))))))))),0)</f>
        <v>0</v>
      </c>
      <c r="BE30" s="12">
        <f>IF($H30=3,IF(OR($F30="DDV",$F30="DDG",$F30="DD"),'Fleet Tech - Tech'!L$3,IF($F30="CL",'Fleet Tech - Tech'!L$4,IF($F30="CA",'Fleet Tech - Tech'!L$5,IF($F30="BC",'Fleet Tech - Tech'!L$6,IF($F30="BB",'Fleet Tech - Tech'!L$7,IF($F30="CVL",'Fleet Tech - Tech'!L$8,IF($F30="CV",'Fleet Tech - Tech'!L$9,IF($F30="SS",'Fleet Tech - Tech'!L$10,IF($F30="BBV",'Fleet Tech - Tech'!L$11,IF($F30="CB",'Fleet Tech - Tech'!L$15,IF($F30="AE",'Fleet Tech - Tech'!L$16,IF($F30="IX",'Fleet Tech - Tech'!L$17,IF($F30="BM",'Fleet Tech - Tech'!L$13,IF($F30="AR",'Fleet Tech - Tech'!L$12,IF($F30="SSV",'Fleet Tech - Tech'!L$14,"nil"))))))))))))))),0)</f>
        <v>0</v>
      </c>
      <c r="BF30" s="12">
        <f>IF($H30=3,IF(OR($F30="DDV",$F30="DDG",$F30="DD"),'Fleet Tech - Tech'!M$3,IF($F30="CL",'Fleet Tech - Tech'!M$4,IF($F30="CA",'Fleet Tech - Tech'!M$5,IF($F30="BC",'Fleet Tech - Tech'!M$6,IF($F30="BB",'Fleet Tech - Tech'!M$7,IF($F30="CVL",'Fleet Tech - Tech'!M$8,IF($F30="CV",'Fleet Tech - Tech'!M$9,IF($F30="SS",'Fleet Tech - Tech'!M$10,IF($F30="BBV",'Fleet Tech - Tech'!M$11,IF($F30="CB",'Fleet Tech - Tech'!M$15,IF($F30="AE",'Fleet Tech - Tech'!M$16,IF($F30="IX",'Fleet Tech - Tech'!M$17,IF($F30="BM",'Fleet Tech - Tech'!M$13,IF($F30="AR",'Fleet Tech - Tech'!M$12,IF($F30="SSV",'Fleet Tech - Tech'!M$14,"nil"))))))))))))))),0)</f>
        <v>0</v>
      </c>
      <c r="BG30" s="12">
        <f>IF($H30=3,IF(OR($F30="DDV",$F30="DDG",$F30="DD"),'Fleet Tech - Tech'!N$3,IF($F30="CL",'Fleet Tech - Tech'!N$4,IF($F30="CA",'Fleet Tech - Tech'!N$5,IF($F30="BC",'Fleet Tech - Tech'!N$6,IF($F30="BB",'Fleet Tech - Tech'!N$7,IF($F30="CVL",'Fleet Tech - Tech'!N$8,IF($F30="CV",'Fleet Tech - Tech'!N$9,IF($F30="SS",'Fleet Tech - Tech'!N$10,IF($F30="BBV",'Fleet Tech - Tech'!N$11,IF($F30="CB",'Fleet Tech - Tech'!N$15,IF($F30="AE",'Fleet Tech - Tech'!N$16,IF($F30="IX",'Fleet Tech - Tech'!N$17,IF($F30="BM",'Fleet Tech - Tech'!N$13,IF($F30="AR",'Fleet Tech - Tech'!N$12,IF($F30="SSV",'Fleet Tech - Tech'!N$14,"nil"))))))))))))))),0)</f>
        <v>0</v>
      </c>
      <c r="BH30" s="28"/>
      <c r="BI30" s="12">
        <v>986</v>
      </c>
      <c r="BJ30" s="12">
        <v>53</v>
      </c>
      <c r="BK30" s="12">
        <v>94</v>
      </c>
      <c r="BL30" s="28"/>
      <c r="BM30" s="28"/>
      <c r="BN30" s="12">
        <v>41</v>
      </c>
      <c r="BO30" s="28"/>
      <c r="BP30" s="28"/>
      <c r="BQ30" s="12">
        <v>27</v>
      </c>
      <c r="BR30" s="12">
        <v>3</v>
      </c>
      <c r="BS30" s="12">
        <v>56</v>
      </c>
      <c r="BT30" s="12">
        <v>11</v>
      </c>
      <c r="BU30" s="12">
        <v>48</v>
      </c>
      <c r="BV30" s="12">
        <v>335</v>
      </c>
      <c r="BW30" s="28"/>
      <c r="BX30" s="12">
        <v>-1</v>
      </c>
      <c r="BY30" s="12">
        <v>-1</v>
      </c>
      <c r="BZ30" s="12">
        <v>-1</v>
      </c>
      <c r="CA30" s="12">
        <v>-1</v>
      </c>
      <c r="CB30" s="12">
        <v>-1</v>
      </c>
      <c r="CC30" s="12">
        <v>-1</v>
      </c>
      <c r="CD30" s="12">
        <v>3</v>
      </c>
      <c r="CE30" s="12">
        <v>1</v>
      </c>
      <c r="CF30" s="12">
        <v>3</v>
      </c>
      <c r="CG30" s="12">
        <v>6</v>
      </c>
      <c r="CH30" s="12">
        <v>-1</v>
      </c>
      <c r="CI30" s="12">
        <v>-1</v>
      </c>
      <c r="CJ30" s="47"/>
      <c r="CK30" s="48">
        <f>IF(BX30=5,320,IF(BX30=4,195,IF(BX30=3,132,IF(BX30=2,90,IF(BX30=1,58,IF(BX30=-1,0,35))))))</f>
        <v>0</v>
      </c>
      <c r="CL30" s="48">
        <f>IF(BX30=5,20,IF(BX30=4,15,IF(BX30=3,12,IF(BX30=2,10,IF(BX30=1,8,IF(BX30=-1,0,5))))))</f>
        <v>0</v>
      </c>
      <c r="CM30" s="48">
        <f>IF(BZ30=5,320,IF(BZ30=4,195,IF(BZ30=3,132,IF(BZ30=2,90,IF(BZ30=1,58,IF(BZ30=-1,0,35))))))</f>
        <v>0</v>
      </c>
      <c r="CN30" s="48">
        <f>IF(BZ30=5,20,IF(BZ30=4,15,IF(BZ30=3,12,IF(BZ30=2,10,IF(BZ30=1,8,IF(BZ30=-1,0,5))))))</f>
        <v>0</v>
      </c>
      <c r="CO30" s="48">
        <f>IF(CB30=5,320,IF(CB30=4,195,IF(CB30=3,132,IF(CB30=2,90,IF(CB30=1,58,IF(CB30=-1,0,35))))))</f>
        <v>0</v>
      </c>
      <c r="CP30" s="48">
        <f>IF(CB30=5,20,IF(CB30=4,15,IF(CB30=3,12,IF(CB30=2,10,IF(CB30=1,8,IF(CB30=-1,0,5))))))</f>
        <v>0</v>
      </c>
      <c r="CQ30" s="48">
        <f>IF(CD30=5,320,IF(CD30=4,195,IF(CD30=3,132,IF(CD30=2,90,IF(CD30=1,58,IF(CD30=-1,0,35))))))</f>
        <v>132</v>
      </c>
      <c r="CR30" s="48">
        <f>IF(CD30=5,20,IF(CD30=4,15,IF(CD30=3,12,IF(CD30=2,10,IF(CD30=1,8,IF(CD30=-1,0,5))))))</f>
        <v>12</v>
      </c>
      <c r="CS30" s="48">
        <f>IF(CF30=5,320,IF(CF30=4,195,IF(CF30=3,132,IF(CF30=2,90,IF(CF30=1,58,IF(CF30=-1,0,35))))))</f>
        <v>132</v>
      </c>
      <c r="CT30" s="48">
        <f>IF(CF30=5,20,IF(CF30=4,15,IF(CF30=3,12,IF(CF30=2,10,IF(CF30=1,8,IF(CF30=-1,0,5))))))</f>
        <v>12</v>
      </c>
      <c r="CU30" s="48">
        <f>IF(CH30=5,320,IF(CH30=4,195,IF(CH30=3,132,IF(CH30=2,90,IF(CH30=1,58,IF(CH30=-1,0,35))))))</f>
        <v>0</v>
      </c>
      <c r="CV30" s="48">
        <f>IF(CH30=5,20,IF(CH30=4,15,IF(CH30=3,12,IF(CH30=2,10,IF(CH30=1,8,IF(CH30=-1,0,5))))))</f>
        <v>0</v>
      </c>
      <c r="CW30" s="48">
        <f>IF(BY30&gt;10,(BY30/10)-ROUNDDOWN(BY30/10,0),0)+IF(CA30&gt;10,(CA30/10)-ROUNDDOWN(CA30/10,0),0)+IF(CC30&gt;10,(CC30/10)-ROUNDDOWN(CC30/10,0),0)+IF(CE30&gt;10,(CE30/10)-ROUNDDOWN(CE30/10,0),0)+IF(CG30&gt;10,(CG30/10)-ROUNDDOWN(CG30/10,0),0)+IF(CI30&gt;10,(CI30/10)-ROUNDDOWN(CI30/10,0),0)</f>
        <v>0</v>
      </c>
      <c r="CX30" s="48">
        <f>1+(CW30/10)</f>
        <v>1</v>
      </c>
    </row>
    <row r="31" ht="20.05" customHeight="1">
      <c r="A31" t="s" s="43">
        <v>303</v>
      </c>
      <c r="B31" s="49"/>
      <c r="C31" t="s" s="45">
        <v>73</v>
      </c>
      <c r="D31" s="13">
        <v>4</v>
      </c>
      <c r="E31" t="s" s="15">
        <v>240</v>
      </c>
      <c r="F31" t="s" s="15">
        <v>241</v>
      </c>
      <c r="G31" t="s" s="15">
        <v>282</v>
      </c>
      <c r="H31" s="12">
        <v>0</v>
      </c>
      <c r="I31" t="s" s="15">
        <v>235</v>
      </c>
      <c r="J31" s="12">
        <v>1</v>
      </c>
      <c r="K31" t="s" s="14">
        <v>242</v>
      </c>
      <c r="L31" t="s" s="15">
        <v>265</v>
      </c>
      <c r="M31" t="s" s="15">
        <v>27</v>
      </c>
      <c r="N31" s="46">
        <f>ROUND((SUM(AA31,T31:Y31,AC31:AE31,Z31*10)-AB31*15)*(IF(K31="Heavy",0.15,IF(K31="Medium",0,IF(K31="Light",-0.15,10)))+1),0)</f>
        <v>322</v>
      </c>
      <c r="O31" s="46">
        <v>762</v>
      </c>
      <c r="P31" s="46">
        <f>ROUNDDOWN((BI31+AU31+AG31)/5,0)+(BJ31+AV31+AH31)+(BN31+AZ31+AL31)+(BO31+BA31+AM31)+(BK31+AW31+AI31)+(BS31+BE31+AQ31)+(BL31+AX31+AJ31)+(BQ31+BC31+AO31)+(2*((BT31+BF31+AR31)+(BU31+BG31+AS31)))+(CK31+CM31+CO31+CQ31+CS31+CU31)+(CL31*BY31)+(CN31*CA31)+(CP31+CC31)+(CR31+CE31)+(CT31+CG31)+(CV31+CI31)+BV31</f>
        <v>1102</v>
      </c>
      <c r="Q31" s="46">
        <f>ROUNDDOWN(((S31/5)+T31+X31+Y31+U31+AC31+V31+AA31+(2*(AD31+AE31))+CK31+CM31+CO31+CQ31+CS31+CU31+(CL31*BX31)+(CN31*BZ31)+(CP31*CB31)+(CR31*CD31)+(CT31*CF31)+(CV31*CH31))*CX31,0)</f>
        <v>798</v>
      </c>
      <c r="R31" s="46">
        <f>ROUNDDOWN(AVERAGE(P31:Q31),0)</f>
        <v>950</v>
      </c>
      <c r="S31" s="12">
        <f>AG31+AU31+BI31</f>
        <v>1108</v>
      </c>
      <c r="T31" s="12">
        <f>AH31+AV31+BJ31</f>
        <v>0</v>
      </c>
      <c r="U31" s="12">
        <f>AI31+AW31+BK31</f>
        <v>63</v>
      </c>
      <c r="V31" s="12">
        <f>AJ31+AX31+BL31</f>
        <v>0</v>
      </c>
      <c r="W31" s="12">
        <f>AK31+AY31+BM31</f>
        <v>90</v>
      </c>
      <c r="X31" s="12">
        <f>AL31+AZ31+BN31</f>
        <v>0</v>
      </c>
      <c r="Y31" s="12">
        <f>AM31+BA31+BO31</f>
        <v>105</v>
      </c>
      <c r="Z31" s="12">
        <f>AN31+BB31+BP31</f>
        <v>0</v>
      </c>
      <c r="AA31" s="12">
        <f>AO31+BC31+BQ31</f>
        <v>33</v>
      </c>
      <c r="AB31" s="12">
        <f>AP31+BD31+BR31</f>
        <v>4</v>
      </c>
      <c r="AC31" s="12">
        <f>AQ31+BE31+BS31</f>
        <v>48</v>
      </c>
      <c r="AD31" s="12">
        <f>AR31+BF31+BT31</f>
        <v>13</v>
      </c>
      <c r="AE31" s="12">
        <f>AS31+BG31+BU31</f>
        <v>30</v>
      </c>
      <c r="AF31" s="28"/>
      <c r="AG31" s="12">
        <v>0</v>
      </c>
      <c r="AH31" s="12">
        <v>0</v>
      </c>
      <c r="AI31" s="12">
        <v>0</v>
      </c>
      <c r="AJ31" s="12">
        <v>0</v>
      </c>
      <c r="AK31" s="12">
        <v>0</v>
      </c>
      <c r="AL31" s="12">
        <v>0</v>
      </c>
      <c r="AM31" s="12">
        <v>22</v>
      </c>
      <c r="AN31" s="12">
        <v>0</v>
      </c>
      <c r="AO31" s="12">
        <v>0</v>
      </c>
      <c r="AP31" s="12">
        <v>0</v>
      </c>
      <c r="AQ31" s="12">
        <v>0</v>
      </c>
      <c r="AR31" s="12">
        <v>0</v>
      </c>
      <c r="AS31" s="12">
        <v>0</v>
      </c>
      <c r="AT31" s="28"/>
      <c r="AU31" s="12">
        <f>IF($H31=3,IF(OR($F31="DDV",$F31="DDG",$F31="DD"),'Fleet Tech - Tech'!B$3,IF($F31="CL",'Fleet Tech - Tech'!B$4,IF($F31="CA",'Fleet Tech - Tech'!B$5,IF($F31="BC",'Fleet Tech - Tech'!B$6,IF($F31="BB",'Fleet Tech - Tech'!B$7,IF($F31="CVL",'Fleet Tech - Tech'!B$8,IF($F31="CV",'Fleet Tech - Tech'!B$9,IF($F31="SS",'Fleet Tech - Tech'!B$10,IF($F31="BBV",'Fleet Tech - Tech'!B$11,IF($F31="CB",'Fleet Tech - Tech'!B$15,IF($F31="AE",'Fleet Tech - Tech'!B$16,IF($F31="IX",'Fleet Tech - Tech'!B$17,IF($F31="BM",'Fleet Tech - Tech'!B$13,IF($F31="AR",'Fleet Tech - Tech'!B$12,IF($F31="SSV",'Fleet Tech - Tech'!B$14,"nil"))))))))))))))),0)</f>
        <v>0</v>
      </c>
      <c r="AV31" s="12">
        <f>IF($H31=3,IF(OR($F31="DDV",$F31="DDG",$F31="DD"),'Fleet Tech - Tech'!C$3,IF($F31="CL",'Fleet Tech - Tech'!C$4,IF($F31="CA",'Fleet Tech - Tech'!C$5,IF($F31="BC",'Fleet Tech - Tech'!C$6,IF($F31="BB",'Fleet Tech - Tech'!C$7,IF($F31="CVL",'Fleet Tech - Tech'!C$8,IF($F31="CV",'Fleet Tech - Tech'!C$9,IF($F31="SS",'Fleet Tech - Tech'!C$10,IF($F31="BBV",'Fleet Tech - Tech'!C$11,IF($F31="CB",'Fleet Tech - Tech'!C$15,IF($F31="AE",'Fleet Tech - Tech'!C$16,IF($F31="IX",'Fleet Tech - Tech'!C$17,IF($F31="BM",'Fleet Tech - Tech'!C$13,IF($F31="AR",'Fleet Tech - Tech'!C$12,IF($F31="SSV",'Fleet Tech - Tech'!C$14,"nil"))))))))))))))),0)</f>
        <v>0</v>
      </c>
      <c r="AW31" s="12">
        <f>IF($H31=3,IF(OR($F31="DDV",$F31="DDG",$F31="DD"),'Fleet Tech - Tech'!D$3,IF($F31="CL",'Fleet Tech - Tech'!D$4,IF($F31="CA",'Fleet Tech - Tech'!D$5,IF($F31="BC",'Fleet Tech - Tech'!D$6,IF($F31="BB",'Fleet Tech - Tech'!D$7,IF($F31="CVL",'Fleet Tech - Tech'!D$8,IF($F31="CV",'Fleet Tech - Tech'!D$9,IF($F31="SS",'Fleet Tech - Tech'!D$10,IF($F31="BBV",'Fleet Tech - Tech'!D$11,IF($F31="CB",'Fleet Tech - Tech'!D$15,IF($F31="AE",'Fleet Tech - Tech'!D$16,IF($F31="IX",'Fleet Tech - Tech'!D$17,IF($F31="BM",'Fleet Tech - Tech'!D$13,IF($F31="AR",'Fleet Tech - Tech'!D$12,IF($F31="SSV",'Fleet Tech - Tech'!D$14,"nil"))))))))))))))),0)</f>
        <v>0</v>
      </c>
      <c r="AX31" s="12">
        <f>IF($H31=3,IF(OR($F31="DDV",$F31="DDG",$F31="DD"),'Fleet Tech - Tech'!E$3,IF($F31="CL",'Fleet Tech - Tech'!E$4,IF($F31="CA",'Fleet Tech - Tech'!E$5,IF($F31="BC",'Fleet Tech - Tech'!E$6,IF($F31="BB",'Fleet Tech - Tech'!E$7,IF($F31="CVL",'Fleet Tech - Tech'!E$8,IF($F31="CV",'Fleet Tech - Tech'!E$9,IF($F31="SS",'Fleet Tech - Tech'!E$10,IF($F31="BBV",'Fleet Tech - Tech'!E$11,IF($F31="CB",'Fleet Tech - Tech'!E$15,IF($F31="AE",'Fleet Tech - Tech'!E$16,IF($F31="IX",'Fleet Tech - Tech'!E$17,IF($F31="BM",'Fleet Tech - Tech'!E$13,IF($F31="AR",'Fleet Tech - Tech'!E$12,IF($F31="SSV",'Fleet Tech - Tech'!E$14,"nil"))))))))))))))),0)</f>
        <v>0</v>
      </c>
      <c r="AY31" s="12">
        <f>IF($H31=3,IF(OR($F31="DDV",$F31="DDG",$F31="DD"),'Fleet Tech - Tech'!F$3,IF($F31="CL",'Fleet Tech - Tech'!F$4,IF($F31="CA",'Fleet Tech - Tech'!F$5,IF($F31="BC",'Fleet Tech - Tech'!F$6,IF($F31="BB",'Fleet Tech - Tech'!F$7,IF($F31="CVL",'Fleet Tech - Tech'!F$8,IF($F31="CV",'Fleet Tech - Tech'!F$9,IF($F31="SS",'Fleet Tech - Tech'!F$10,IF($F31="BBV",'Fleet Tech - Tech'!F$11,IF($F31="CB",'Fleet Tech - Tech'!F$15,IF($F31="AE",'Fleet Tech - Tech'!F$16,IF($F31="IX",'Fleet Tech - Tech'!F$17,IF($F31="BM",'Fleet Tech - Tech'!F$13,IF($F31="AR",'Fleet Tech - Tech'!F$12,IF($F31="SSV",'Fleet Tech - Tech'!F$14,"nil"))))))))))))))),0)</f>
        <v>0</v>
      </c>
      <c r="AZ31" s="12">
        <f>IF($H31=3,IF(OR($F31="DDV",$F31="DDG",$F31="DD"),'Fleet Tech - Tech'!G$3,IF($F31="CL",'Fleet Tech - Tech'!G$4,IF($F31="CA",'Fleet Tech - Tech'!G$5,IF($F31="BC",'Fleet Tech - Tech'!G$6,IF($F31="BB",'Fleet Tech - Tech'!G$7,IF($F31="CVL",'Fleet Tech - Tech'!G$8,IF($F31="CV",'Fleet Tech - Tech'!G$9,IF($F31="SS",'Fleet Tech - Tech'!G$10,IF($F31="BBV",'Fleet Tech - Tech'!G$11,IF($F31="CB",'Fleet Tech - Tech'!G$15,IF($F31="AE",'Fleet Tech - Tech'!G$16,IF($F31="IX",'Fleet Tech - Tech'!G$17,IF($F31="BM",'Fleet Tech - Tech'!G$13,IF($F31="AR",'Fleet Tech - Tech'!G$12,IF($F31="SSV",'Fleet Tech - Tech'!G$14,"nil"))))))))))))))),0)</f>
        <v>0</v>
      </c>
      <c r="BA31" s="12">
        <f>IF($H31=3,IF(OR($F31="DDV",$F31="DDG",$F31="DD"),'Fleet Tech - Tech'!H$3,IF($F31="CL",'Fleet Tech - Tech'!H$4,IF($F31="CA",'Fleet Tech - Tech'!H$5,IF($F31="BC",'Fleet Tech - Tech'!H$6,IF($F31="BB",'Fleet Tech - Tech'!H$7,IF($F31="CVL",'Fleet Tech - Tech'!H$8,IF($F31="CV",'Fleet Tech - Tech'!H$9,IF($F31="SS",'Fleet Tech - Tech'!H$10,IF($F31="BBV",'Fleet Tech - Tech'!H$11,IF($F31="CB",'Fleet Tech - Tech'!H$15,IF($F31="AE",'Fleet Tech - Tech'!H$16,IF($F31="IX",'Fleet Tech - Tech'!H$17,IF($F31="BM",'Fleet Tech - Tech'!H$13,IF($F31="AR",'Fleet Tech - Tech'!H$12,IF($F31="SSV",'Fleet Tech - Tech'!H$14,"nil"))))))))))))))),0)</f>
        <v>0</v>
      </c>
      <c r="BB31" s="12">
        <f>IF($H31=3,IF(OR($F31="DDV",$F31="DDG",$F31="DD"),'Fleet Tech - Tech'!I$3,IF($F31="CL",'Fleet Tech - Tech'!I$4,IF($F31="CA",'Fleet Tech - Tech'!I$5,IF($F31="BC",'Fleet Tech - Tech'!I$6,IF($F31="BB",'Fleet Tech - Tech'!I$7,IF($F31="CVL",'Fleet Tech - Tech'!I$8,IF($F31="CV",'Fleet Tech - Tech'!I$9,IF($F31="SS",'Fleet Tech - Tech'!I$10,IF($F31="BBV",'Fleet Tech - Tech'!I$11,IF($F31="CB",'Fleet Tech - Tech'!I$15,IF($F31="AE",'Fleet Tech - Tech'!I$16,IF($F31="IX",'Fleet Tech - Tech'!I$17,IF($F31="BM",'Fleet Tech - Tech'!I$13,IF($F31="AR",'Fleet Tech - Tech'!I$12,IF($F31="SSV",'Fleet Tech - Tech'!I$14,"nil"))))))))))))))),0)</f>
        <v>0</v>
      </c>
      <c r="BC31" s="12">
        <f>IF($H31=3,IF(OR($F31="DDV",$F31="DDG",$F31="DD"),'Fleet Tech - Tech'!J$3,IF($F31="CL",'Fleet Tech - Tech'!J$4,IF($F31="CA",'Fleet Tech - Tech'!J$5,IF($F31="BC",'Fleet Tech - Tech'!J$6,IF($F31="BB",'Fleet Tech - Tech'!J$7,IF($F31="CVL",'Fleet Tech - Tech'!J$8,IF($F31="CV",'Fleet Tech - Tech'!J$9,IF($F31="SS",'Fleet Tech - Tech'!J$10,IF($F31="BBV",'Fleet Tech - Tech'!J$11,IF($F31="CB",'Fleet Tech - Tech'!J$15,IF($F31="AE",'Fleet Tech - Tech'!J$16,IF($F31="IX",'Fleet Tech - Tech'!J$17,IF($F31="BM",'Fleet Tech - Tech'!J$13,IF($F31="AR",'Fleet Tech - Tech'!J$12,IF($F31="SSV",'Fleet Tech - Tech'!J$14,"nil"))))))))))))))),0)</f>
        <v>0</v>
      </c>
      <c r="BD31" s="12">
        <f>IF($H31=3,IF(OR($F31="DDV",$F31="DDG",$F31="DD"),'Fleet Tech - Tech'!K$3,IF($F31="CL",'Fleet Tech - Tech'!K$4,IF($F31="CA",'Fleet Tech - Tech'!K$5,IF($F31="BC",'Fleet Tech - Tech'!K$6,IF($F31="BB",'Fleet Tech - Tech'!K$7,IF($F31="CVL",'Fleet Tech - Tech'!K$8,IF($F31="CV",'Fleet Tech - Tech'!K$9,IF($F31="SS",'Fleet Tech - Tech'!K$10,IF($F31="BBV",'Fleet Tech - Tech'!K$11,IF($F31="CB",'Fleet Tech - Tech'!K$15,IF($F31="AE",'Fleet Tech - Tech'!K$16,IF($F31="IX",'Fleet Tech - Tech'!K$17,IF($F31="BM",'Fleet Tech - Tech'!K$13,IF($F31="AR",'Fleet Tech - Tech'!K$12,IF($F31="SSV",'Fleet Tech - Tech'!K$14,"nil"))))))))))))))),0)</f>
        <v>0</v>
      </c>
      <c r="BE31" s="12">
        <f>IF($H31=3,IF(OR($F31="DDV",$F31="DDG",$F31="DD"),'Fleet Tech - Tech'!L$3,IF($F31="CL",'Fleet Tech - Tech'!L$4,IF($F31="CA",'Fleet Tech - Tech'!L$5,IF($F31="BC",'Fleet Tech - Tech'!L$6,IF($F31="BB",'Fleet Tech - Tech'!L$7,IF($F31="CVL",'Fleet Tech - Tech'!L$8,IF($F31="CV",'Fleet Tech - Tech'!L$9,IF($F31="SS",'Fleet Tech - Tech'!L$10,IF($F31="BBV",'Fleet Tech - Tech'!L$11,IF($F31="CB",'Fleet Tech - Tech'!L$15,IF($F31="AE",'Fleet Tech - Tech'!L$16,IF($F31="IX",'Fleet Tech - Tech'!L$17,IF($F31="BM",'Fleet Tech - Tech'!L$13,IF($F31="AR",'Fleet Tech - Tech'!L$12,IF($F31="SSV",'Fleet Tech - Tech'!L$14,"nil"))))))))))))))),0)</f>
        <v>0</v>
      </c>
      <c r="BF31" s="12">
        <f>IF($H31=3,IF(OR($F31="DDV",$F31="DDG",$F31="DD"),'Fleet Tech - Tech'!M$3,IF($F31="CL",'Fleet Tech - Tech'!M$4,IF($F31="CA",'Fleet Tech - Tech'!M$5,IF($F31="BC",'Fleet Tech - Tech'!M$6,IF($F31="BB",'Fleet Tech - Tech'!M$7,IF($F31="CVL",'Fleet Tech - Tech'!M$8,IF($F31="CV",'Fleet Tech - Tech'!M$9,IF($F31="SS",'Fleet Tech - Tech'!M$10,IF($F31="BBV",'Fleet Tech - Tech'!M$11,IF($F31="CB",'Fleet Tech - Tech'!M$15,IF($F31="AE",'Fleet Tech - Tech'!M$16,IF($F31="IX",'Fleet Tech - Tech'!M$17,IF($F31="BM",'Fleet Tech - Tech'!M$13,IF($F31="AR",'Fleet Tech - Tech'!M$12,IF($F31="SSV",'Fleet Tech - Tech'!M$14,"nil"))))))))))))))),0)</f>
        <v>0</v>
      </c>
      <c r="BG31" s="12">
        <f>IF($H31=3,IF(OR($F31="DDV",$F31="DDG",$F31="DD"),'Fleet Tech - Tech'!N$3,IF($F31="CL",'Fleet Tech - Tech'!N$4,IF($F31="CA",'Fleet Tech - Tech'!N$5,IF($F31="BC",'Fleet Tech - Tech'!N$6,IF($F31="BB",'Fleet Tech - Tech'!N$7,IF($F31="CVL",'Fleet Tech - Tech'!N$8,IF($F31="CV",'Fleet Tech - Tech'!N$9,IF($F31="SS",'Fleet Tech - Tech'!N$10,IF($F31="BBV",'Fleet Tech - Tech'!N$11,IF($F31="CB",'Fleet Tech - Tech'!N$15,IF($F31="AE",'Fleet Tech - Tech'!N$16,IF($F31="IX",'Fleet Tech - Tech'!N$17,IF($F31="BM",'Fleet Tech - Tech'!N$13,IF($F31="AR",'Fleet Tech - Tech'!N$12,IF($F31="SSV",'Fleet Tech - Tech'!N$14,"nil"))))))))))))))),0)</f>
        <v>0</v>
      </c>
      <c r="BH31" s="28"/>
      <c r="BI31" s="12">
        <v>1108</v>
      </c>
      <c r="BJ31" s="12">
        <v>0</v>
      </c>
      <c r="BK31" s="12">
        <v>63</v>
      </c>
      <c r="BL31" s="12">
        <v>0</v>
      </c>
      <c r="BM31" s="12">
        <v>90</v>
      </c>
      <c r="BN31" s="12">
        <v>0</v>
      </c>
      <c r="BO31" s="12">
        <v>83</v>
      </c>
      <c r="BP31" s="12">
        <v>0</v>
      </c>
      <c r="BQ31" s="12">
        <v>33</v>
      </c>
      <c r="BR31" s="12">
        <v>4</v>
      </c>
      <c r="BS31" s="12">
        <v>48</v>
      </c>
      <c r="BT31" s="12">
        <v>13</v>
      </c>
      <c r="BU31" s="12">
        <v>30</v>
      </c>
      <c r="BV31" s="12">
        <v>335</v>
      </c>
      <c r="BW31" s="28"/>
      <c r="BX31" s="12">
        <v>2</v>
      </c>
      <c r="BY31" s="12">
        <v>0</v>
      </c>
      <c r="BZ31" s="12">
        <v>1</v>
      </c>
      <c r="CA31" s="12">
        <v>0</v>
      </c>
      <c r="CB31" s="12">
        <v>1</v>
      </c>
      <c r="CC31" s="12">
        <v>0</v>
      </c>
      <c r="CD31" s="12">
        <v>-1</v>
      </c>
      <c r="CE31" s="12">
        <v>-1</v>
      </c>
      <c r="CF31" s="12">
        <v>-1</v>
      </c>
      <c r="CG31" s="12">
        <v>-1</v>
      </c>
      <c r="CH31" s="12">
        <v>-1</v>
      </c>
      <c r="CI31" s="12">
        <v>-1</v>
      </c>
      <c r="CJ31" s="47"/>
      <c r="CK31" s="48">
        <f>IF(BX31=5,320,IF(BX31=4,195,IF(BX31=3,132,IF(BX31=2,90,IF(BX31=1,58,IF(BX31=-1,0,35))))))</f>
        <v>90</v>
      </c>
      <c r="CL31" s="48">
        <f>IF(BX31=5,20,IF(BX31=4,15,IF(BX31=3,12,IF(BX31=2,10,IF(BX31=1,8,IF(BX31=-1,0,5))))))</f>
        <v>10</v>
      </c>
      <c r="CM31" s="48">
        <f>IF(BZ31=5,320,IF(BZ31=4,195,IF(BZ31=3,132,IF(BZ31=2,90,IF(BZ31=1,58,IF(BZ31=-1,0,35))))))</f>
        <v>58</v>
      </c>
      <c r="CN31" s="48">
        <f>IF(BZ31=5,20,IF(BZ31=4,15,IF(BZ31=3,12,IF(BZ31=2,10,IF(BZ31=1,8,IF(BZ31=-1,0,5))))))</f>
        <v>8</v>
      </c>
      <c r="CO31" s="48">
        <f>IF(CB31=5,320,IF(CB31=4,195,IF(CB31=3,132,IF(CB31=2,90,IF(CB31=1,58,IF(CB31=-1,0,35))))))</f>
        <v>58</v>
      </c>
      <c r="CP31" s="48">
        <f>IF(CB31=5,20,IF(CB31=4,15,IF(CB31=3,12,IF(CB31=2,10,IF(CB31=1,8,IF(CB31=-1,0,5))))))</f>
        <v>8</v>
      </c>
      <c r="CQ31" s="48">
        <f>IF(CD31=5,320,IF(CD31=4,195,IF(CD31=3,132,IF(CD31=2,90,IF(CD31=1,58,IF(CD31=-1,0,35))))))</f>
        <v>0</v>
      </c>
      <c r="CR31" s="48">
        <f>IF(CD31=5,20,IF(CD31=4,15,IF(CD31=3,12,IF(CD31=2,10,IF(CD31=1,8,IF(CD31=-1,0,5))))))</f>
        <v>0</v>
      </c>
      <c r="CS31" s="48">
        <f>IF(CF31=5,320,IF(CF31=4,195,IF(CF31=3,132,IF(CF31=2,90,IF(CF31=1,58,IF(CF31=-1,0,35))))))</f>
        <v>0</v>
      </c>
      <c r="CT31" s="48">
        <f>IF(CF31=5,20,IF(CF31=4,15,IF(CF31=3,12,IF(CF31=2,10,IF(CF31=1,8,IF(CF31=-1,0,5))))))</f>
        <v>0</v>
      </c>
      <c r="CU31" s="48">
        <f>IF(CH31=5,320,IF(CH31=4,195,IF(CH31=3,132,IF(CH31=2,90,IF(CH31=1,58,IF(CH31=-1,0,35))))))</f>
        <v>0</v>
      </c>
      <c r="CV31" s="48">
        <f>IF(CH31=5,20,IF(CH31=4,15,IF(CH31=3,12,IF(CH31=2,10,IF(CH31=1,8,IF(CH31=-1,0,5))))))</f>
        <v>0</v>
      </c>
      <c r="CW31" s="48">
        <f>IF(BY31&gt;10,(BY31/10)-ROUNDDOWN(BY31/10,0),0)+IF(CA31&gt;10,(CA31/10)-ROUNDDOWN(CA31/10,0),0)+IF(CC31&gt;10,(CC31/10)-ROUNDDOWN(CC31/10,0),0)+IF(CE31&gt;10,(CE31/10)-ROUNDDOWN(CE31/10,0),0)+IF(CG31&gt;10,(CG31/10)-ROUNDDOWN(CG31/10,0),0)+IF(CI31&gt;10,(CI31/10)-ROUNDDOWN(CI31/10,0),0)</f>
        <v>0</v>
      </c>
      <c r="CX31" s="48">
        <f>1+(CW31/10)</f>
        <v>1</v>
      </c>
    </row>
    <row r="32" ht="20.05" customHeight="1">
      <c r="A32" t="s" s="43">
        <v>304</v>
      </c>
      <c r="B32" t="s" s="44">
        <v>305</v>
      </c>
      <c r="C32" t="s" s="45">
        <v>73</v>
      </c>
      <c r="D32" s="13">
        <v>7</v>
      </c>
      <c r="E32" t="s" s="15">
        <v>232</v>
      </c>
      <c r="F32" t="s" s="15">
        <v>275</v>
      </c>
      <c r="G32" t="s" s="15">
        <v>234</v>
      </c>
      <c r="H32" s="12">
        <v>3</v>
      </c>
      <c r="I32" t="s" s="15">
        <v>235</v>
      </c>
      <c r="J32" s="12">
        <v>125</v>
      </c>
      <c r="K32" t="s" s="14">
        <v>242</v>
      </c>
      <c r="L32" t="s" s="15">
        <v>237</v>
      </c>
      <c r="M32" t="s" s="15">
        <v>19</v>
      </c>
      <c r="N32" s="46">
        <f>ROUND((SUM(AA32,T32:Y32,AC32:AE32,Z32*10)-AB32*15)*(IF(K32="Heavy",0.15,IF(K32="Medium",0,IF(K32="Light",-0.15,10)))+1),0)</f>
        <v>1299</v>
      </c>
      <c r="O32" s="46">
        <v>4243</v>
      </c>
      <c r="P32" s="46">
        <f>ROUNDDOWN((BI32+AU32+AG32)/5,0)+(BJ32+AV32+AH32)+(BN32+AZ32+AL32)+(BO32+BA32+AM32)+(BK32+AW32+AI32)+(BS32+BE32+AQ32)+(BL32+AX32+AJ32)+(BQ32+BC32+AO32)+(2*((BT32+BF32+AR32)+(BU32+BG32+AS32)))+(CK32+CM32+CO32+CQ32+CS32+CU32)+(CL32*BY32)+(CN32*CA32)+(CP32+CC32)+(CR32+CE32)+(CT32+CG32)+(CV32+CI32)+BV32</f>
        <v>4386</v>
      </c>
      <c r="Q32" s="46">
        <f>ROUNDDOWN(((S32/5)+T32+X32+Y32+U32+AC32+V32+AA32+(2*(AD32+AE32))+CK32+CM32+CO32+CQ32+CS32+CU32+(CL32*BX32)+(CN32*BZ32)+(CP32*CB32)+(CR32*CD32)+(CT32*CF32)+(CV32*CH32))*CX32,0)</f>
        <v>4025</v>
      </c>
      <c r="R32" s="46">
        <f>ROUNDDOWN(AVERAGE(P32:Q32),0)</f>
        <v>4205</v>
      </c>
      <c r="S32" s="12">
        <f>AG32+AU32+BI32</f>
        <v>5071</v>
      </c>
      <c r="T32" s="12">
        <f>AH32+AV32+BJ32</f>
        <v>359</v>
      </c>
      <c r="U32" s="12">
        <f>AI32+AW32+BK32</f>
        <v>237</v>
      </c>
      <c r="V32" s="12">
        <f>AJ32+AX32+BL32</f>
        <v>0</v>
      </c>
      <c r="W32" s="12">
        <f>AK32+AY32+BM32</f>
        <v>48</v>
      </c>
      <c r="X32" s="12">
        <f>AL32+AZ32+BN32</f>
        <v>374</v>
      </c>
      <c r="Y32" s="12">
        <f>AM32+BA32+BO32</f>
        <v>0</v>
      </c>
      <c r="Z32" s="12">
        <f>AN32+BB32+BP32</f>
        <v>0</v>
      </c>
      <c r="AA32" s="12">
        <f>AO32+BC32+BQ32</f>
        <v>31</v>
      </c>
      <c r="AB32" s="12">
        <f>AP32+BD32+BR32</f>
        <v>12</v>
      </c>
      <c r="AC32" s="12">
        <f>AQ32+BE32+BS32</f>
        <v>198</v>
      </c>
      <c r="AD32" s="12">
        <f>AR32+BF32+BT32</f>
        <v>87</v>
      </c>
      <c r="AE32" s="12">
        <f>AS32+BG32+BU32</f>
        <v>145</v>
      </c>
      <c r="AF32" s="28"/>
      <c r="AG32" s="12">
        <v>371</v>
      </c>
      <c r="AH32" s="12">
        <v>67</v>
      </c>
      <c r="AI32" s="12">
        <v>45</v>
      </c>
      <c r="AJ32" s="12">
        <v>0</v>
      </c>
      <c r="AK32" s="12">
        <v>0</v>
      </c>
      <c r="AL32" s="12">
        <v>106</v>
      </c>
      <c r="AM32" s="12">
        <v>0</v>
      </c>
      <c r="AN32" s="12">
        <v>0</v>
      </c>
      <c r="AO32" s="12">
        <v>0</v>
      </c>
      <c r="AP32" s="12">
        <v>0</v>
      </c>
      <c r="AQ32" s="12">
        <v>10</v>
      </c>
      <c r="AR32" s="12">
        <v>0</v>
      </c>
      <c r="AS32" s="12">
        <v>0</v>
      </c>
      <c r="AT32" s="28"/>
      <c r="AU32" s="12">
        <f>IF($H32=3,IF(OR($F32="DDV",$F32="DDG",$F32="DD"),'Fleet Tech - Tech'!B$3,IF($F32="CL",'Fleet Tech - Tech'!B$4,IF($F32="CA",'Fleet Tech - Tech'!B$5,IF($F32="BC",'Fleet Tech - Tech'!B$6,IF($F32="BB",'Fleet Tech - Tech'!B$7,IF($F32="CVL",'Fleet Tech - Tech'!B$8,IF($F32="CV",'Fleet Tech - Tech'!B$9,IF($F32="SS",'Fleet Tech - Tech'!B$10,IF($F32="BBV",'Fleet Tech - Tech'!B$11,IF($F32="CB",'Fleet Tech - Tech'!B$15,IF($F32="AE",'Fleet Tech - Tech'!B$16,IF($F32="IX",'Fleet Tech - Tech'!B$17,IF($F32="BM",'Fleet Tech - Tech'!B$13,IF($F32="AR",'Fleet Tech - Tech'!B$12,IF($F32="SSV",'Fleet Tech - Tech'!B$14,"nil"))))))))))))))),0)</f>
        <v>57</v>
      </c>
      <c r="AV32" s="12">
        <f>IF($H32=3,IF(OR($F32="DDV",$F32="DDG",$F32="DD"),'Fleet Tech - Tech'!C$3,IF($F32="CL",'Fleet Tech - Tech'!C$4,IF($F32="CA",'Fleet Tech - Tech'!C$5,IF($F32="BC",'Fleet Tech - Tech'!C$6,IF($F32="BB",'Fleet Tech - Tech'!C$7,IF($F32="CVL",'Fleet Tech - Tech'!C$8,IF($F32="CV",'Fleet Tech - Tech'!C$9,IF($F32="SS",'Fleet Tech - Tech'!C$10,IF($F32="BBV",'Fleet Tech - Tech'!C$11,IF($F32="CB",'Fleet Tech - Tech'!C$15,IF($F32="AE",'Fleet Tech - Tech'!C$16,IF($F32="IX",'Fleet Tech - Tech'!C$17,IF($F32="BM",'Fleet Tech - Tech'!C$13,IF($F32="AR",'Fleet Tech - Tech'!C$12,IF($F32="SSV",'Fleet Tech - Tech'!C$14,"nil"))))))))))))))),0)</f>
        <v>3</v>
      </c>
      <c r="AW32" s="12">
        <f>IF($H32=3,IF(OR($F32="DDV",$F32="DDG",$F32="DD"),'Fleet Tech - Tech'!D$3,IF($F32="CL",'Fleet Tech - Tech'!D$4,IF($F32="CA",'Fleet Tech - Tech'!D$5,IF($F32="BC",'Fleet Tech - Tech'!D$6,IF($F32="BB",'Fleet Tech - Tech'!D$7,IF($F32="CVL",'Fleet Tech - Tech'!D$8,IF($F32="CV",'Fleet Tech - Tech'!D$9,IF($F32="SS",'Fleet Tech - Tech'!D$10,IF($F32="BBV",'Fleet Tech - Tech'!D$11,IF($F32="CB",'Fleet Tech - Tech'!D$15,IF($F32="AE",'Fleet Tech - Tech'!D$16,IF($F32="IX",'Fleet Tech - Tech'!D$17,IF($F32="BM",'Fleet Tech - Tech'!D$13,IF($F32="AR",'Fleet Tech - Tech'!D$12,IF($F32="SSV",'Fleet Tech - Tech'!D$14,"nil"))))))))))))))),0)</f>
        <v>0</v>
      </c>
      <c r="AX32" s="12">
        <f>IF($H32=3,IF(OR($F32="DDV",$F32="DDG",$F32="DD"),'Fleet Tech - Tech'!E$3,IF($F32="CL",'Fleet Tech - Tech'!E$4,IF($F32="CA",'Fleet Tech - Tech'!E$5,IF($F32="BC",'Fleet Tech - Tech'!E$6,IF($F32="BB",'Fleet Tech - Tech'!E$7,IF($F32="CVL",'Fleet Tech - Tech'!E$8,IF($F32="CV",'Fleet Tech - Tech'!E$9,IF($F32="SS",'Fleet Tech - Tech'!E$10,IF($F32="BBV",'Fleet Tech - Tech'!E$11,IF($F32="CB",'Fleet Tech - Tech'!E$15,IF($F32="AE",'Fleet Tech - Tech'!E$16,IF($F32="IX",'Fleet Tech - Tech'!E$17,IF($F32="BM",'Fleet Tech - Tech'!E$13,IF($F32="AR",'Fleet Tech - Tech'!E$12,IF($F32="SSV",'Fleet Tech - Tech'!E$14,"nil"))))))))))))))),0)</f>
        <v>0</v>
      </c>
      <c r="AY32" s="12">
        <f>IF($H32=3,IF(OR($F32="DDV",$F32="DDG",$F32="DD"),'Fleet Tech - Tech'!F$3,IF($F32="CL",'Fleet Tech - Tech'!F$4,IF($F32="CA",'Fleet Tech - Tech'!F$5,IF($F32="BC",'Fleet Tech - Tech'!F$6,IF($F32="BB",'Fleet Tech - Tech'!F$7,IF($F32="CVL",'Fleet Tech - Tech'!F$8,IF($F32="CV",'Fleet Tech - Tech'!F$9,IF($F32="SS",'Fleet Tech - Tech'!F$10,IF($F32="BBV",'Fleet Tech - Tech'!F$11,IF($F32="CB",'Fleet Tech - Tech'!F$15,IF($F32="AE",'Fleet Tech - Tech'!F$16,IF($F32="IX",'Fleet Tech - Tech'!F$17,IF($F32="BM",'Fleet Tech - Tech'!F$13,IF($F32="AR",'Fleet Tech - Tech'!F$12,IF($F32="SSV",'Fleet Tech - Tech'!F$14,"nil"))))))))))))))),0)</f>
        <v>0</v>
      </c>
      <c r="AZ32" s="12">
        <f>IF($H32=3,IF(OR($F32="DDV",$F32="DDG",$F32="DD"),'Fleet Tech - Tech'!G$3,IF($F32="CL",'Fleet Tech - Tech'!G$4,IF($F32="CA",'Fleet Tech - Tech'!G$5,IF($F32="BC",'Fleet Tech - Tech'!G$6,IF($F32="BB",'Fleet Tech - Tech'!G$7,IF($F32="CVL",'Fleet Tech - Tech'!G$8,IF($F32="CV",'Fleet Tech - Tech'!G$9,IF($F32="SS",'Fleet Tech - Tech'!G$10,IF($F32="BBV",'Fleet Tech - Tech'!G$11,IF($F32="CB",'Fleet Tech - Tech'!G$15,IF($F32="AE",'Fleet Tech - Tech'!G$16,IF($F32="IX",'Fleet Tech - Tech'!G$17,IF($F32="BM",'Fleet Tech - Tech'!G$13,IF($F32="AR",'Fleet Tech - Tech'!G$12,IF($F32="SSV",'Fleet Tech - Tech'!G$14,"nil"))))))))))))))),0)</f>
        <v>6</v>
      </c>
      <c r="BA32" s="12">
        <f>IF($H32=3,IF(OR($F32="DDV",$F32="DDG",$F32="DD"),'Fleet Tech - Tech'!H$3,IF($F32="CL",'Fleet Tech - Tech'!H$4,IF($F32="CA",'Fleet Tech - Tech'!H$5,IF($F32="BC",'Fleet Tech - Tech'!H$6,IF($F32="BB",'Fleet Tech - Tech'!H$7,IF($F32="CVL",'Fleet Tech - Tech'!H$8,IF($F32="CV",'Fleet Tech - Tech'!H$9,IF($F32="SS",'Fleet Tech - Tech'!H$10,IF($F32="BBV",'Fleet Tech - Tech'!H$11,IF($F32="CB",'Fleet Tech - Tech'!H$15,IF($F32="AE",'Fleet Tech - Tech'!H$16,IF($F32="IX",'Fleet Tech - Tech'!H$17,IF($F32="BM",'Fleet Tech - Tech'!H$13,IF($F32="AR",'Fleet Tech - Tech'!H$12,IF($F32="SSV",'Fleet Tech - Tech'!H$14,"nil"))))))))))))))),0)</f>
        <v>0</v>
      </c>
      <c r="BB32" s="12">
        <f>IF($H32=3,IF(OR($F32="DDV",$F32="DDG",$F32="DD"),'Fleet Tech - Tech'!I$3,IF($F32="CL",'Fleet Tech - Tech'!I$4,IF($F32="CA",'Fleet Tech - Tech'!I$5,IF($F32="BC",'Fleet Tech - Tech'!I$6,IF($F32="BB",'Fleet Tech - Tech'!I$7,IF($F32="CVL",'Fleet Tech - Tech'!I$8,IF($F32="CV",'Fleet Tech - Tech'!I$9,IF($F32="SS",'Fleet Tech - Tech'!I$10,IF($F32="BBV",'Fleet Tech - Tech'!I$11,IF($F32="CB",'Fleet Tech - Tech'!I$15,IF($F32="AE",'Fleet Tech - Tech'!I$16,IF($F32="IX",'Fleet Tech - Tech'!I$17,IF($F32="BM",'Fleet Tech - Tech'!I$13,IF($F32="AR",'Fleet Tech - Tech'!I$12,IF($F32="SSV",'Fleet Tech - Tech'!I$14,"nil"))))))))))))))),0)</f>
        <v>0</v>
      </c>
      <c r="BC32" s="12">
        <f>IF($H32=3,IF(OR($F32="DDV",$F32="DDG",$F32="DD"),'Fleet Tech - Tech'!J$3,IF($F32="CL",'Fleet Tech - Tech'!J$4,IF($F32="CA",'Fleet Tech - Tech'!J$5,IF($F32="BC",'Fleet Tech - Tech'!J$6,IF($F32="BB",'Fleet Tech - Tech'!J$7,IF($F32="CVL",'Fleet Tech - Tech'!J$8,IF($F32="CV",'Fleet Tech - Tech'!J$9,IF($F32="SS",'Fleet Tech - Tech'!J$10,IF($F32="BBV",'Fleet Tech - Tech'!J$11,IF($F32="CB",'Fleet Tech - Tech'!J$15,IF($F32="AE",'Fleet Tech - Tech'!J$16,IF($F32="IX",'Fleet Tech - Tech'!J$17,IF($F32="BM",'Fleet Tech - Tech'!J$13,IF($F32="AR",'Fleet Tech - Tech'!J$12,IF($F32="SSV",'Fleet Tech - Tech'!J$14,"nil"))))))))))))))),0)</f>
        <v>0</v>
      </c>
      <c r="BD32" s="12">
        <f>IF($H32=3,IF(OR($F32="DDV",$F32="DDG",$F32="DD"),'Fleet Tech - Tech'!K$3,IF($F32="CL",'Fleet Tech - Tech'!K$4,IF($F32="CA",'Fleet Tech - Tech'!K$5,IF($F32="BC",'Fleet Tech - Tech'!K$6,IF($F32="BB",'Fleet Tech - Tech'!K$7,IF($F32="CVL",'Fleet Tech - Tech'!K$8,IF($F32="CV",'Fleet Tech - Tech'!K$9,IF($F32="SS",'Fleet Tech - Tech'!K$10,IF($F32="BBV",'Fleet Tech - Tech'!K$11,IF($F32="CB",'Fleet Tech - Tech'!K$15,IF($F32="AE",'Fleet Tech - Tech'!K$16,IF($F32="IX",'Fleet Tech - Tech'!K$17,IF($F32="BM",'Fleet Tech - Tech'!K$13,IF($F32="AR",'Fleet Tech - Tech'!K$12,IF($F32="SSV",'Fleet Tech - Tech'!K$14,"nil"))))))))))))))),0)</f>
        <v>0</v>
      </c>
      <c r="BE32" s="12">
        <f>IF($H32=3,IF(OR($F32="DDV",$F32="DDG",$F32="DD"),'Fleet Tech - Tech'!L$3,IF($F32="CL",'Fleet Tech - Tech'!L$4,IF($F32="CA",'Fleet Tech - Tech'!L$5,IF($F32="BC",'Fleet Tech - Tech'!L$6,IF($F32="BB",'Fleet Tech - Tech'!L$7,IF($F32="CVL",'Fleet Tech - Tech'!L$8,IF($F32="CV",'Fleet Tech - Tech'!L$9,IF($F32="SS",'Fleet Tech - Tech'!L$10,IF($F32="BBV",'Fleet Tech - Tech'!L$11,IF($F32="CB",'Fleet Tech - Tech'!L$15,IF($F32="AE",'Fleet Tech - Tech'!L$16,IF($F32="IX",'Fleet Tech - Tech'!L$17,IF($F32="BM",'Fleet Tech - Tech'!L$13,IF($F32="AR",'Fleet Tech - Tech'!L$12,IF($F32="SSV",'Fleet Tech - Tech'!L$14,"nil"))))))))))))))),0)</f>
        <v>1</v>
      </c>
      <c r="BF32" s="12">
        <f>IF($H32=3,IF(OR($F32="DDV",$F32="DDG",$F32="DD"),'Fleet Tech - Tech'!M$3,IF($F32="CL",'Fleet Tech - Tech'!M$4,IF($F32="CA",'Fleet Tech - Tech'!M$5,IF($F32="BC",'Fleet Tech - Tech'!M$6,IF($F32="BB",'Fleet Tech - Tech'!M$7,IF($F32="CVL",'Fleet Tech - Tech'!M$8,IF($F32="CV",'Fleet Tech - Tech'!M$9,IF($F32="SS",'Fleet Tech - Tech'!M$10,IF($F32="BBV",'Fleet Tech - Tech'!M$11,IF($F32="CB",'Fleet Tech - Tech'!M$15,IF($F32="AE",'Fleet Tech - Tech'!M$16,IF($F32="IX",'Fleet Tech - Tech'!M$17,IF($F32="BM",'Fleet Tech - Tech'!M$13,IF($F32="AR",'Fleet Tech - Tech'!M$12,IF($F32="SSV",'Fleet Tech - Tech'!M$14,"nil"))))))))))))))),0)</f>
        <v>0</v>
      </c>
      <c r="BG32" s="12">
        <f>IF($H32=3,IF(OR($F32="DDV",$F32="DDG",$F32="DD"),'Fleet Tech - Tech'!N$3,IF($F32="CL",'Fleet Tech - Tech'!N$4,IF($F32="CA",'Fleet Tech - Tech'!N$5,IF($F32="BC",'Fleet Tech - Tech'!N$6,IF($F32="BB",'Fleet Tech - Tech'!N$7,IF($F32="CVL",'Fleet Tech - Tech'!N$8,IF($F32="CV",'Fleet Tech - Tech'!N$9,IF($F32="SS",'Fleet Tech - Tech'!N$10,IF($F32="BBV",'Fleet Tech - Tech'!N$11,IF($F32="CB",'Fleet Tech - Tech'!N$15,IF($F32="AE",'Fleet Tech - Tech'!N$16,IF($F32="IX",'Fleet Tech - Tech'!N$17,IF($F32="BM",'Fleet Tech - Tech'!N$13,IF($F32="AR",'Fleet Tech - Tech'!N$12,IF($F32="SSV",'Fleet Tech - Tech'!N$14,"nil"))))))))))))))),0)</f>
        <v>0</v>
      </c>
      <c r="BH32" s="28"/>
      <c r="BI32" s="12">
        <v>4643</v>
      </c>
      <c r="BJ32" s="12">
        <v>289</v>
      </c>
      <c r="BK32" s="12">
        <v>192</v>
      </c>
      <c r="BL32" s="12">
        <v>0</v>
      </c>
      <c r="BM32" s="12">
        <v>48</v>
      </c>
      <c r="BN32" s="12">
        <v>262</v>
      </c>
      <c r="BO32" s="12">
        <v>0</v>
      </c>
      <c r="BP32" s="12">
        <v>0</v>
      </c>
      <c r="BQ32" s="12">
        <v>31</v>
      </c>
      <c r="BR32" s="12">
        <v>12</v>
      </c>
      <c r="BS32" s="12">
        <v>187</v>
      </c>
      <c r="BT32" s="12">
        <v>87</v>
      </c>
      <c r="BU32" s="12">
        <v>145</v>
      </c>
      <c r="BV32" s="12">
        <v>335</v>
      </c>
      <c r="BW32" s="28"/>
      <c r="BX32" s="12">
        <v>4</v>
      </c>
      <c r="BY32" s="12">
        <v>10</v>
      </c>
      <c r="BZ32" s="12">
        <v>4</v>
      </c>
      <c r="CA32" s="12">
        <v>10</v>
      </c>
      <c r="CB32" s="12">
        <v>4</v>
      </c>
      <c r="CC32" s="12">
        <v>11</v>
      </c>
      <c r="CD32" s="12">
        <v>3</v>
      </c>
      <c r="CE32" s="12">
        <v>11</v>
      </c>
      <c r="CF32" s="12">
        <v>3</v>
      </c>
      <c r="CG32" s="12">
        <v>10</v>
      </c>
      <c r="CH32" s="12">
        <v>3</v>
      </c>
      <c r="CI32" s="12">
        <v>10</v>
      </c>
      <c r="CJ32" s="47"/>
      <c r="CK32" s="48">
        <f>IF(BX32=5,320,IF(BX32=4,195,IF(BX32=3,132,IF(BX32=2,90,IF(BX32=1,58,IF(BX32=-1,0,35))))))</f>
        <v>195</v>
      </c>
      <c r="CL32" s="48">
        <f>IF(BX32=5,20,IF(BX32=4,15,IF(BX32=3,12,IF(BX32=2,10,IF(BX32=1,8,IF(BX32=-1,0,5))))))</f>
        <v>15</v>
      </c>
      <c r="CM32" s="48">
        <f>IF(BZ32=5,320,IF(BZ32=4,195,IF(BZ32=3,132,IF(BZ32=2,90,IF(BZ32=1,58,IF(BZ32=-1,0,35))))))</f>
        <v>195</v>
      </c>
      <c r="CN32" s="48">
        <f>IF(BZ32=5,20,IF(BZ32=4,15,IF(BZ32=3,12,IF(BZ32=2,10,IF(BZ32=1,8,IF(BZ32=-1,0,5))))))</f>
        <v>15</v>
      </c>
      <c r="CO32" s="48">
        <f>IF(CB32=5,320,IF(CB32=4,195,IF(CB32=3,132,IF(CB32=2,90,IF(CB32=1,58,IF(CB32=-1,0,35))))))</f>
        <v>195</v>
      </c>
      <c r="CP32" s="48">
        <f>IF(CB32=5,20,IF(CB32=4,15,IF(CB32=3,12,IF(CB32=2,10,IF(CB32=1,8,IF(CB32=-1,0,5))))))</f>
        <v>15</v>
      </c>
      <c r="CQ32" s="48">
        <f>IF(CD32=5,320,IF(CD32=4,195,IF(CD32=3,132,IF(CD32=2,90,IF(CD32=1,58,IF(CD32=-1,0,35))))))</f>
        <v>132</v>
      </c>
      <c r="CR32" s="48">
        <f>IF(CD32=5,20,IF(CD32=4,15,IF(CD32=3,12,IF(CD32=2,10,IF(CD32=1,8,IF(CD32=-1,0,5))))))</f>
        <v>12</v>
      </c>
      <c r="CS32" s="48">
        <f>IF(CF32=5,320,IF(CF32=4,195,IF(CF32=3,132,IF(CF32=2,90,IF(CF32=1,58,IF(CF32=-1,0,35))))))</f>
        <v>132</v>
      </c>
      <c r="CT32" s="48">
        <f>IF(CF32=5,20,IF(CF32=4,15,IF(CF32=3,12,IF(CF32=2,10,IF(CF32=1,8,IF(CF32=-1,0,5))))))</f>
        <v>12</v>
      </c>
      <c r="CU32" s="48">
        <f>IF(CH32=5,320,IF(CH32=4,195,IF(CH32=3,132,IF(CH32=2,90,IF(CH32=1,58,IF(CH32=-1,0,35))))))</f>
        <v>132</v>
      </c>
      <c r="CV32" s="48">
        <f>IF(CH32=5,20,IF(CH32=4,15,IF(CH32=3,12,IF(CH32=2,10,IF(CH32=1,8,IF(CH32=-1,0,5))))))</f>
        <v>12</v>
      </c>
      <c r="CW32" s="48">
        <f>IF(BY32&gt;10,(BY32/10)-ROUNDDOWN(BY32/10,0),0)+IF(CA32&gt;10,(CA32/10)-ROUNDDOWN(CA32/10,0),0)+IF(CC32&gt;10,(CC32/10)-ROUNDDOWN(CC32/10,0),0)+IF(CE32&gt;10,(CE32/10)-ROUNDDOWN(CE32/10,0),0)+IF(CG32&gt;10,(CG32/10)-ROUNDDOWN(CG32/10,0),0)+IF(CI32&gt;10,(CI32/10)-ROUNDDOWN(CI32/10,0),0)</f>
        <v>0.2</v>
      </c>
      <c r="CX32" s="48">
        <f>1+(CW32/10)</f>
        <v>1.02</v>
      </c>
    </row>
    <row r="33" ht="20.05" customHeight="1">
      <c r="A33" t="s" s="43">
        <v>306</v>
      </c>
      <c r="B33" t="s" s="44">
        <v>307</v>
      </c>
      <c r="C33" t="s" s="45">
        <v>73</v>
      </c>
      <c r="D33" s="13">
        <v>7</v>
      </c>
      <c r="E33" t="s" s="15">
        <v>232</v>
      </c>
      <c r="F33" t="s" s="15">
        <v>275</v>
      </c>
      <c r="G33" t="s" s="15">
        <v>234</v>
      </c>
      <c r="H33" s="12">
        <v>3</v>
      </c>
      <c r="I33" t="s" s="15">
        <v>235</v>
      </c>
      <c r="J33" s="12">
        <v>125</v>
      </c>
      <c r="K33" t="s" s="14">
        <v>236</v>
      </c>
      <c r="L33" t="s" s="15">
        <v>237</v>
      </c>
      <c r="M33" t="s" s="15">
        <v>19</v>
      </c>
      <c r="N33" s="46">
        <f>ROUND((SUM(AA33,T33:Y33,AC33:AE33,Z33*10)-AB33*15)*(IF(K33="Heavy",0.15,IF(K33="Medium",0,IF(K33="Light",-0.15,10)))+1),0)</f>
        <v>1144</v>
      </c>
      <c r="O33" s="46">
        <v>4402</v>
      </c>
      <c r="P33" s="46">
        <f>ROUNDDOWN((BI33+AU33+AG33)/5,0)+(BJ33+AV33+AH33)+(BN33+AZ33+AL33)+(BO33+BA33+AM33)+(BK33+AW33+AI33)+(BS33+BE33+AQ33)+(BL33+AX33+AJ33)+(BQ33+BC33+AO33)+(2*((BT33+BF33+AR33)+(BU33+BG33+AS33)))+(CK33+CM33+CO33+CQ33+CS33+CU33)+(CL33*BY33)+(CN33*CA33)+(CP33+CC33)+(CR33+CE33)+(CT33+CG33)+(CV33+CI33)+BV33</f>
        <v>4590</v>
      </c>
      <c r="Q33" s="46">
        <f>ROUNDDOWN(((S33/5)+T33+X33+Y33+U33+AC33+V33+AA33+(2*(AD33+AE33))+CK33+CM33+CO33+CQ33+CS33+CU33+(CL33*BX33)+(CN33*BZ33)+(CP33*CB33)+(CR33*CD33)+(CT33*CF33)+(CV33*CH33))*CX33,0)</f>
        <v>4247</v>
      </c>
      <c r="R33" s="46">
        <f>ROUNDDOWN(AVERAGE(P33:Q33),0)</f>
        <v>4418</v>
      </c>
      <c r="S33" s="12">
        <f>AG33+AU33+BI33</f>
        <v>5200</v>
      </c>
      <c r="T33" s="12">
        <f>AH33+AV33+BJ33</f>
        <v>357</v>
      </c>
      <c r="U33" s="12">
        <f>AI33+AW33+BK33</f>
        <v>237</v>
      </c>
      <c r="V33" s="12">
        <f>AJ33+AX33+BL33</f>
        <v>0</v>
      </c>
      <c r="W33" s="12">
        <f>AK33+AY33+BM33</f>
        <v>65</v>
      </c>
      <c r="X33" s="12">
        <f>AL33+AZ33+BN33</f>
        <v>358</v>
      </c>
      <c r="Y33" s="12">
        <f>AM33+BA33+BO33</f>
        <v>0</v>
      </c>
      <c r="Z33" s="12">
        <f>AN33+BB33+BP33</f>
        <v>0</v>
      </c>
      <c r="AA33" s="12">
        <f>AO33+BC33+BQ33</f>
        <v>31</v>
      </c>
      <c r="AB33" s="12">
        <f>AP33+BD33+BR33</f>
        <v>10</v>
      </c>
      <c r="AC33" s="12">
        <f>AQ33+BE33+BS33</f>
        <v>198</v>
      </c>
      <c r="AD33" s="12">
        <f>AR33+BF33+BT33</f>
        <v>105</v>
      </c>
      <c r="AE33" s="12">
        <f>AS33+BG33+BU33</f>
        <v>145</v>
      </c>
      <c r="AF33" s="28"/>
      <c r="AG33" s="12">
        <v>500</v>
      </c>
      <c r="AH33" s="12">
        <v>65</v>
      </c>
      <c r="AI33" s="12">
        <v>45</v>
      </c>
      <c r="AJ33" s="12">
        <v>0</v>
      </c>
      <c r="AK33" s="12">
        <v>0</v>
      </c>
      <c r="AL33" s="12">
        <v>90</v>
      </c>
      <c r="AM33" s="12">
        <v>0</v>
      </c>
      <c r="AN33" s="12">
        <v>0</v>
      </c>
      <c r="AO33" s="12">
        <v>0</v>
      </c>
      <c r="AP33" s="12">
        <v>0</v>
      </c>
      <c r="AQ33" s="12">
        <v>10</v>
      </c>
      <c r="AR33" s="12">
        <v>18</v>
      </c>
      <c r="AS33" s="12">
        <v>0</v>
      </c>
      <c r="AT33" s="28"/>
      <c r="AU33" s="12">
        <f>IF($H33=3,IF(OR($F33="DDV",$F33="DDG",$F33="DD"),'Fleet Tech - Tech'!B$3,IF($F33="CL",'Fleet Tech - Tech'!B$4,IF($F33="CA",'Fleet Tech - Tech'!B$5,IF($F33="BC",'Fleet Tech - Tech'!B$6,IF($F33="BB",'Fleet Tech - Tech'!B$7,IF($F33="CVL",'Fleet Tech - Tech'!B$8,IF($F33="CV",'Fleet Tech - Tech'!B$9,IF($F33="SS",'Fleet Tech - Tech'!B$10,IF($F33="BBV",'Fleet Tech - Tech'!B$11,IF($F33="CB",'Fleet Tech - Tech'!B$15,IF($F33="AE",'Fleet Tech - Tech'!B$16,IF($F33="IX",'Fleet Tech - Tech'!B$17,IF($F33="BM",'Fleet Tech - Tech'!B$13,IF($F33="AR",'Fleet Tech - Tech'!B$12,IF($F33="SSV",'Fleet Tech - Tech'!B$14,"nil"))))))))))))))),0)</f>
        <v>57</v>
      </c>
      <c r="AV33" s="12">
        <f>IF($H33=3,IF(OR($F33="DDV",$F33="DDG",$F33="DD"),'Fleet Tech - Tech'!C$3,IF($F33="CL",'Fleet Tech - Tech'!C$4,IF($F33="CA",'Fleet Tech - Tech'!C$5,IF($F33="BC",'Fleet Tech - Tech'!C$6,IF($F33="BB",'Fleet Tech - Tech'!C$7,IF($F33="CVL",'Fleet Tech - Tech'!C$8,IF($F33="CV",'Fleet Tech - Tech'!C$9,IF($F33="SS",'Fleet Tech - Tech'!C$10,IF($F33="BBV",'Fleet Tech - Tech'!C$11,IF($F33="CB",'Fleet Tech - Tech'!C$15,IF($F33="AE",'Fleet Tech - Tech'!C$16,IF($F33="IX",'Fleet Tech - Tech'!C$17,IF($F33="BM",'Fleet Tech - Tech'!C$13,IF($F33="AR",'Fleet Tech - Tech'!C$12,IF($F33="SSV",'Fleet Tech - Tech'!C$14,"nil"))))))))))))))),0)</f>
        <v>3</v>
      </c>
      <c r="AW33" s="12">
        <f>IF($H33=3,IF(OR($F33="DDV",$F33="DDG",$F33="DD"),'Fleet Tech - Tech'!D$3,IF($F33="CL",'Fleet Tech - Tech'!D$4,IF($F33="CA",'Fleet Tech - Tech'!D$5,IF($F33="BC",'Fleet Tech - Tech'!D$6,IF($F33="BB",'Fleet Tech - Tech'!D$7,IF($F33="CVL",'Fleet Tech - Tech'!D$8,IF($F33="CV",'Fleet Tech - Tech'!D$9,IF($F33="SS",'Fleet Tech - Tech'!D$10,IF($F33="BBV",'Fleet Tech - Tech'!D$11,IF($F33="CB",'Fleet Tech - Tech'!D$15,IF($F33="AE",'Fleet Tech - Tech'!D$16,IF($F33="IX",'Fleet Tech - Tech'!D$17,IF($F33="BM",'Fleet Tech - Tech'!D$13,IF($F33="AR",'Fleet Tech - Tech'!D$12,IF($F33="SSV",'Fleet Tech - Tech'!D$14,"nil"))))))))))))))),0)</f>
        <v>0</v>
      </c>
      <c r="AX33" s="12">
        <f>IF($H33=3,IF(OR($F33="DDV",$F33="DDG",$F33="DD"),'Fleet Tech - Tech'!E$3,IF($F33="CL",'Fleet Tech - Tech'!E$4,IF($F33="CA",'Fleet Tech - Tech'!E$5,IF($F33="BC",'Fleet Tech - Tech'!E$6,IF($F33="BB",'Fleet Tech - Tech'!E$7,IF($F33="CVL",'Fleet Tech - Tech'!E$8,IF($F33="CV",'Fleet Tech - Tech'!E$9,IF($F33="SS",'Fleet Tech - Tech'!E$10,IF($F33="BBV",'Fleet Tech - Tech'!E$11,IF($F33="CB",'Fleet Tech - Tech'!E$15,IF($F33="AE",'Fleet Tech - Tech'!E$16,IF($F33="IX",'Fleet Tech - Tech'!E$17,IF($F33="BM",'Fleet Tech - Tech'!E$13,IF($F33="AR",'Fleet Tech - Tech'!E$12,IF($F33="SSV",'Fleet Tech - Tech'!E$14,"nil"))))))))))))))),0)</f>
        <v>0</v>
      </c>
      <c r="AY33" s="12">
        <f>IF($H33=3,IF(OR($F33="DDV",$F33="DDG",$F33="DD"),'Fleet Tech - Tech'!F$3,IF($F33="CL",'Fleet Tech - Tech'!F$4,IF($F33="CA",'Fleet Tech - Tech'!F$5,IF($F33="BC",'Fleet Tech - Tech'!F$6,IF($F33="BB",'Fleet Tech - Tech'!F$7,IF($F33="CVL",'Fleet Tech - Tech'!F$8,IF($F33="CV",'Fleet Tech - Tech'!F$9,IF($F33="SS",'Fleet Tech - Tech'!F$10,IF($F33="BBV",'Fleet Tech - Tech'!F$11,IF($F33="CB",'Fleet Tech - Tech'!F$15,IF($F33="AE",'Fleet Tech - Tech'!F$16,IF($F33="IX",'Fleet Tech - Tech'!F$17,IF($F33="BM",'Fleet Tech - Tech'!F$13,IF($F33="AR",'Fleet Tech - Tech'!F$12,IF($F33="SSV",'Fleet Tech - Tech'!F$14,"nil"))))))))))))))),0)</f>
        <v>0</v>
      </c>
      <c r="AZ33" s="12">
        <f>IF($H33=3,IF(OR($F33="DDV",$F33="DDG",$F33="DD"),'Fleet Tech - Tech'!G$3,IF($F33="CL",'Fleet Tech - Tech'!G$4,IF($F33="CA",'Fleet Tech - Tech'!G$5,IF($F33="BC",'Fleet Tech - Tech'!G$6,IF($F33="BB",'Fleet Tech - Tech'!G$7,IF($F33="CVL",'Fleet Tech - Tech'!G$8,IF($F33="CV",'Fleet Tech - Tech'!G$9,IF($F33="SS",'Fleet Tech - Tech'!G$10,IF($F33="BBV",'Fleet Tech - Tech'!G$11,IF($F33="CB",'Fleet Tech - Tech'!G$15,IF($F33="AE",'Fleet Tech - Tech'!G$16,IF($F33="IX",'Fleet Tech - Tech'!G$17,IF($F33="BM",'Fleet Tech - Tech'!G$13,IF($F33="AR",'Fleet Tech - Tech'!G$12,IF($F33="SSV",'Fleet Tech - Tech'!G$14,"nil"))))))))))))))),0)</f>
        <v>6</v>
      </c>
      <c r="BA33" s="12">
        <f>IF($H33=3,IF(OR($F33="DDV",$F33="DDG",$F33="DD"),'Fleet Tech - Tech'!H$3,IF($F33="CL",'Fleet Tech - Tech'!H$4,IF($F33="CA",'Fleet Tech - Tech'!H$5,IF($F33="BC",'Fleet Tech - Tech'!H$6,IF($F33="BB",'Fleet Tech - Tech'!H$7,IF($F33="CVL",'Fleet Tech - Tech'!H$8,IF($F33="CV",'Fleet Tech - Tech'!H$9,IF($F33="SS",'Fleet Tech - Tech'!H$10,IF($F33="BBV",'Fleet Tech - Tech'!H$11,IF($F33="CB",'Fleet Tech - Tech'!H$15,IF($F33="AE",'Fleet Tech - Tech'!H$16,IF($F33="IX",'Fleet Tech - Tech'!H$17,IF($F33="BM",'Fleet Tech - Tech'!H$13,IF($F33="AR",'Fleet Tech - Tech'!H$12,IF($F33="SSV",'Fleet Tech - Tech'!H$14,"nil"))))))))))))))),0)</f>
        <v>0</v>
      </c>
      <c r="BB33" s="12">
        <f>IF($H33=3,IF(OR($F33="DDV",$F33="DDG",$F33="DD"),'Fleet Tech - Tech'!I$3,IF($F33="CL",'Fleet Tech - Tech'!I$4,IF($F33="CA",'Fleet Tech - Tech'!I$5,IF($F33="BC",'Fleet Tech - Tech'!I$6,IF($F33="BB",'Fleet Tech - Tech'!I$7,IF($F33="CVL",'Fleet Tech - Tech'!I$8,IF($F33="CV",'Fleet Tech - Tech'!I$9,IF($F33="SS",'Fleet Tech - Tech'!I$10,IF($F33="BBV",'Fleet Tech - Tech'!I$11,IF($F33="CB",'Fleet Tech - Tech'!I$15,IF($F33="AE",'Fleet Tech - Tech'!I$16,IF($F33="IX",'Fleet Tech - Tech'!I$17,IF($F33="BM",'Fleet Tech - Tech'!I$13,IF($F33="AR",'Fleet Tech - Tech'!I$12,IF($F33="SSV",'Fleet Tech - Tech'!I$14,"nil"))))))))))))))),0)</f>
        <v>0</v>
      </c>
      <c r="BC33" s="12">
        <f>IF($H33=3,IF(OR($F33="DDV",$F33="DDG",$F33="DD"),'Fleet Tech - Tech'!J$3,IF($F33="CL",'Fleet Tech - Tech'!J$4,IF($F33="CA",'Fleet Tech - Tech'!J$5,IF($F33="BC",'Fleet Tech - Tech'!J$6,IF($F33="BB",'Fleet Tech - Tech'!J$7,IF($F33="CVL",'Fleet Tech - Tech'!J$8,IF($F33="CV",'Fleet Tech - Tech'!J$9,IF($F33="SS",'Fleet Tech - Tech'!J$10,IF($F33="BBV",'Fleet Tech - Tech'!J$11,IF($F33="CB",'Fleet Tech - Tech'!J$15,IF($F33="AE",'Fleet Tech - Tech'!J$16,IF($F33="IX",'Fleet Tech - Tech'!J$17,IF($F33="BM",'Fleet Tech - Tech'!J$13,IF($F33="AR",'Fleet Tech - Tech'!J$12,IF($F33="SSV",'Fleet Tech - Tech'!J$14,"nil"))))))))))))))),0)</f>
        <v>0</v>
      </c>
      <c r="BD33" s="12">
        <f>IF($H33=3,IF(OR($F33="DDV",$F33="DDG",$F33="DD"),'Fleet Tech - Tech'!K$3,IF($F33="CL",'Fleet Tech - Tech'!K$4,IF($F33="CA",'Fleet Tech - Tech'!K$5,IF($F33="BC",'Fleet Tech - Tech'!K$6,IF($F33="BB",'Fleet Tech - Tech'!K$7,IF($F33="CVL",'Fleet Tech - Tech'!K$8,IF($F33="CV",'Fleet Tech - Tech'!K$9,IF($F33="SS",'Fleet Tech - Tech'!K$10,IF($F33="BBV",'Fleet Tech - Tech'!K$11,IF($F33="CB",'Fleet Tech - Tech'!K$15,IF($F33="AE",'Fleet Tech - Tech'!K$16,IF($F33="IX",'Fleet Tech - Tech'!K$17,IF($F33="BM",'Fleet Tech - Tech'!K$13,IF($F33="AR",'Fleet Tech - Tech'!K$12,IF($F33="SSV",'Fleet Tech - Tech'!K$14,"nil"))))))))))))))),0)</f>
        <v>0</v>
      </c>
      <c r="BE33" s="12">
        <f>IF($H33=3,IF(OR($F33="DDV",$F33="DDG",$F33="DD"),'Fleet Tech - Tech'!L$3,IF($F33="CL",'Fleet Tech - Tech'!L$4,IF($F33="CA",'Fleet Tech - Tech'!L$5,IF($F33="BC",'Fleet Tech - Tech'!L$6,IF($F33="BB",'Fleet Tech - Tech'!L$7,IF($F33="CVL",'Fleet Tech - Tech'!L$8,IF($F33="CV",'Fleet Tech - Tech'!L$9,IF($F33="SS",'Fleet Tech - Tech'!L$10,IF($F33="BBV",'Fleet Tech - Tech'!L$11,IF($F33="CB",'Fleet Tech - Tech'!L$15,IF($F33="AE",'Fleet Tech - Tech'!L$16,IF($F33="IX",'Fleet Tech - Tech'!L$17,IF($F33="BM",'Fleet Tech - Tech'!L$13,IF($F33="AR",'Fleet Tech - Tech'!L$12,IF($F33="SSV",'Fleet Tech - Tech'!L$14,"nil"))))))))))))))),0)</f>
        <v>1</v>
      </c>
      <c r="BF33" s="12">
        <f>IF($H33=3,IF(OR($F33="DDV",$F33="DDG",$F33="DD"),'Fleet Tech - Tech'!M$3,IF($F33="CL",'Fleet Tech - Tech'!M$4,IF($F33="CA",'Fleet Tech - Tech'!M$5,IF($F33="BC",'Fleet Tech - Tech'!M$6,IF($F33="BB",'Fleet Tech - Tech'!M$7,IF($F33="CVL",'Fleet Tech - Tech'!M$8,IF($F33="CV",'Fleet Tech - Tech'!M$9,IF($F33="SS",'Fleet Tech - Tech'!M$10,IF($F33="BBV",'Fleet Tech - Tech'!M$11,IF($F33="CB",'Fleet Tech - Tech'!M$15,IF($F33="AE",'Fleet Tech - Tech'!M$16,IF($F33="IX",'Fleet Tech - Tech'!M$17,IF($F33="BM",'Fleet Tech - Tech'!M$13,IF($F33="AR",'Fleet Tech - Tech'!M$12,IF($F33="SSV",'Fleet Tech - Tech'!M$14,"nil"))))))))))))))),0)</f>
        <v>0</v>
      </c>
      <c r="BG33" s="12">
        <f>IF($H33=3,IF(OR($F33="DDV",$F33="DDG",$F33="DD"),'Fleet Tech - Tech'!N$3,IF($F33="CL",'Fleet Tech - Tech'!N$4,IF($F33="CA",'Fleet Tech - Tech'!N$5,IF($F33="BC",'Fleet Tech - Tech'!N$6,IF($F33="BB",'Fleet Tech - Tech'!N$7,IF($F33="CVL",'Fleet Tech - Tech'!N$8,IF($F33="CV",'Fleet Tech - Tech'!N$9,IF($F33="SS",'Fleet Tech - Tech'!N$10,IF($F33="BBV",'Fleet Tech - Tech'!N$11,IF($F33="CB",'Fleet Tech - Tech'!N$15,IF($F33="AE",'Fleet Tech - Tech'!N$16,IF($F33="IX",'Fleet Tech - Tech'!N$17,IF($F33="BM",'Fleet Tech - Tech'!N$13,IF($F33="AR",'Fleet Tech - Tech'!N$12,IF($F33="SSV",'Fleet Tech - Tech'!N$14,"nil"))))))))))))))),0)</f>
        <v>0</v>
      </c>
      <c r="BH33" s="28"/>
      <c r="BI33" s="12">
        <v>4643</v>
      </c>
      <c r="BJ33" s="12">
        <v>289</v>
      </c>
      <c r="BK33" s="12">
        <v>192</v>
      </c>
      <c r="BL33" s="12">
        <v>0</v>
      </c>
      <c r="BM33" s="12">
        <v>65</v>
      </c>
      <c r="BN33" s="12">
        <v>262</v>
      </c>
      <c r="BO33" s="12">
        <v>0</v>
      </c>
      <c r="BP33" s="12">
        <v>0</v>
      </c>
      <c r="BQ33" s="12">
        <v>31</v>
      </c>
      <c r="BR33" s="12">
        <v>10</v>
      </c>
      <c r="BS33" s="12">
        <v>187</v>
      </c>
      <c r="BT33" s="12">
        <v>87</v>
      </c>
      <c r="BU33" s="12">
        <v>145</v>
      </c>
      <c r="BV33" s="12">
        <v>335</v>
      </c>
      <c r="BW33" s="28"/>
      <c r="BX33" s="12">
        <v>4</v>
      </c>
      <c r="BY33" s="12">
        <v>11</v>
      </c>
      <c r="BZ33" s="12">
        <v>4</v>
      </c>
      <c r="CA33" s="12">
        <v>11</v>
      </c>
      <c r="CB33" s="12">
        <v>4</v>
      </c>
      <c r="CC33" s="12">
        <v>10</v>
      </c>
      <c r="CD33" s="12">
        <v>3</v>
      </c>
      <c r="CE33" s="12">
        <v>10</v>
      </c>
      <c r="CF33" s="12">
        <v>4</v>
      </c>
      <c r="CG33" s="12">
        <v>10</v>
      </c>
      <c r="CH33" s="12">
        <v>4</v>
      </c>
      <c r="CI33" s="12">
        <v>10</v>
      </c>
      <c r="CJ33" s="47"/>
      <c r="CK33" s="48">
        <f>IF(BX33=5,320,IF(BX33=4,195,IF(BX33=3,132,IF(BX33=2,90,IF(BX33=1,58,IF(BX33=-1,0,35))))))</f>
        <v>195</v>
      </c>
      <c r="CL33" s="48">
        <f>IF(BX33=5,20,IF(BX33=4,15,IF(BX33=3,12,IF(BX33=2,10,IF(BX33=1,8,IF(BX33=-1,0,5))))))</f>
        <v>15</v>
      </c>
      <c r="CM33" s="48">
        <f>IF(BZ33=5,320,IF(BZ33=4,195,IF(BZ33=3,132,IF(BZ33=2,90,IF(BZ33=1,58,IF(BZ33=-1,0,35))))))</f>
        <v>195</v>
      </c>
      <c r="CN33" s="48">
        <f>IF(BZ33=5,20,IF(BZ33=4,15,IF(BZ33=3,12,IF(BZ33=2,10,IF(BZ33=1,8,IF(BZ33=-1,0,5))))))</f>
        <v>15</v>
      </c>
      <c r="CO33" s="48">
        <f>IF(CB33=5,320,IF(CB33=4,195,IF(CB33=3,132,IF(CB33=2,90,IF(CB33=1,58,IF(CB33=-1,0,35))))))</f>
        <v>195</v>
      </c>
      <c r="CP33" s="48">
        <f>IF(CB33=5,20,IF(CB33=4,15,IF(CB33=3,12,IF(CB33=2,10,IF(CB33=1,8,IF(CB33=-1,0,5))))))</f>
        <v>15</v>
      </c>
      <c r="CQ33" s="48">
        <f>IF(CD33=5,320,IF(CD33=4,195,IF(CD33=3,132,IF(CD33=2,90,IF(CD33=1,58,IF(CD33=-1,0,35))))))</f>
        <v>132</v>
      </c>
      <c r="CR33" s="48">
        <f>IF(CD33=5,20,IF(CD33=4,15,IF(CD33=3,12,IF(CD33=2,10,IF(CD33=1,8,IF(CD33=-1,0,5))))))</f>
        <v>12</v>
      </c>
      <c r="CS33" s="48">
        <f>IF(CF33=5,320,IF(CF33=4,195,IF(CF33=3,132,IF(CF33=2,90,IF(CF33=1,58,IF(CF33=-1,0,35))))))</f>
        <v>195</v>
      </c>
      <c r="CT33" s="48">
        <f>IF(CF33=5,20,IF(CF33=4,15,IF(CF33=3,12,IF(CF33=2,10,IF(CF33=1,8,IF(CF33=-1,0,5))))))</f>
        <v>15</v>
      </c>
      <c r="CU33" s="48">
        <f>IF(CH33=5,320,IF(CH33=4,195,IF(CH33=3,132,IF(CH33=2,90,IF(CH33=1,58,IF(CH33=-1,0,35))))))</f>
        <v>195</v>
      </c>
      <c r="CV33" s="48">
        <f>IF(CH33=5,20,IF(CH33=4,15,IF(CH33=3,12,IF(CH33=2,10,IF(CH33=1,8,IF(CH33=-1,0,5))))))</f>
        <v>15</v>
      </c>
      <c r="CW33" s="48">
        <f>IF(BY33&gt;10,(BY33/10)-ROUNDDOWN(BY33/10,0),0)+IF(CA33&gt;10,(CA33/10)-ROUNDDOWN(CA33/10,0),0)+IF(CC33&gt;10,(CC33/10)-ROUNDDOWN(CC33/10,0),0)+IF(CE33&gt;10,(CE33/10)-ROUNDDOWN(CE33/10,0),0)+IF(CG33&gt;10,(CG33/10)-ROUNDDOWN(CG33/10,0),0)+IF(CI33&gt;10,(CI33/10)-ROUNDDOWN(CI33/10,0),0)</f>
        <v>0.2</v>
      </c>
      <c r="CX33" s="48">
        <f>1+(CW33/10)</f>
        <v>1.02</v>
      </c>
    </row>
    <row r="34" ht="20.05" customHeight="1">
      <c r="A34" t="s" s="43">
        <v>308</v>
      </c>
      <c r="B34" t="s" s="44">
        <v>309</v>
      </c>
      <c r="C34" t="s" s="45">
        <v>73</v>
      </c>
      <c r="D34" s="13">
        <v>7</v>
      </c>
      <c r="E34" t="s" s="15">
        <v>232</v>
      </c>
      <c r="F34" t="s" s="15">
        <v>284</v>
      </c>
      <c r="G34" t="s" s="15">
        <v>234</v>
      </c>
      <c r="H34" s="12">
        <v>3</v>
      </c>
      <c r="I34" t="s" s="15">
        <v>277</v>
      </c>
      <c r="J34" s="12">
        <v>118</v>
      </c>
      <c r="K34" t="s" s="14">
        <v>242</v>
      </c>
      <c r="L34" t="s" s="15">
        <v>265</v>
      </c>
      <c r="M34" t="s" s="15">
        <v>27</v>
      </c>
      <c r="N34" s="46">
        <f>ROUND((SUM(AA34,T34:Y34,AC34:AE34,Z34*10)-AB34*15)*(IF(K34="Heavy",0.15,IF(K34="Medium",0,IF(K34="Light",-0.15,10)))+1),0)</f>
        <v>767</v>
      </c>
      <c r="O34" s="46">
        <v>2089</v>
      </c>
      <c r="P34" s="46">
        <f>ROUNDDOWN((BI34+AU34+AG34)/5,0)+(BJ34+AV34+AH34)+(BN34+AZ34+AL34)+(BO34+BA34+AM34)+(BK34+AW34+AI34)+(BS34+BE34+AQ34)+(BL34+AX34+AJ34)+(BQ34+BC34+AO34)+(2*((BT34+BF34+AR34)+(BU34+BG34+AS34)))+(CK34+CM34+CO34+CQ34+CS34+CU34)+(CL34*BY34)+(CN34*CA34)+(CP34+CC34)+(CR34+CE34)+(CT34+CG34)+(CV34+CI34)+BV34</f>
        <v>2453</v>
      </c>
      <c r="Q34" s="46">
        <f>ROUNDDOWN(((S34/5)+T34+X34+Y34+U34+AC34+V34+AA34+(2*(AD34+AE34))+CK34+CM34+CO34+CQ34+CS34+CU34+(CL34*BX34)+(CN34*BZ34)+(CP34*CB34)+(CR34*CD34)+(CT34*CF34)+(CV34*CH34))*CX34,0)</f>
        <v>2122</v>
      </c>
      <c r="R34" s="46">
        <f>ROUNDDOWN(AVERAGE(P34:Q34),0)</f>
        <v>2287</v>
      </c>
      <c r="S34" s="12">
        <f>AG34+AU34+BI34</f>
        <v>5084</v>
      </c>
      <c r="T34" s="12">
        <f>AH34+AV34+BJ34</f>
        <v>232</v>
      </c>
      <c r="U34" s="12">
        <f>AI34+AW34+BK34</f>
        <v>267</v>
      </c>
      <c r="V34" s="12">
        <f>AJ34+AX34+BL34</f>
        <v>2</v>
      </c>
      <c r="W34" s="12">
        <f>AK34+AY34+BM34</f>
        <v>23</v>
      </c>
      <c r="X34" s="12">
        <f>AL34+AZ34+BN34</f>
        <v>1</v>
      </c>
      <c r="Y34" s="12">
        <f>AM34+BA34+BO34</f>
        <v>0</v>
      </c>
      <c r="Z34" s="12">
        <f>AN34+BB34+BP34</f>
        <v>0</v>
      </c>
      <c r="AA34" s="12">
        <f>AO34+BC34+BQ34</f>
        <v>26</v>
      </c>
      <c r="AB34" s="12">
        <f>AP34+BD34+BR34</f>
        <v>11</v>
      </c>
      <c r="AC34" s="12">
        <f>AQ34+BE34+BS34</f>
        <v>184</v>
      </c>
      <c r="AD34" s="12">
        <f>AR34+BF34+BT34</f>
        <v>66</v>
      </c>
      <c r="AE34" s="12">
        <f>AS34+BG34+BU34</f>
        <v>131</v>
      </c>
      <c r="AF34" s="28"/>
      <c r="AG34" s="12">
        <v>0</v>
      </c>
      <c r="AH34" s="28"/>
      <c r="AI34" s="12">
        <v>0</v>
      </c>
      <c r="AJ34" s="12">
        <v>0</v>
      </c>
      <c r="AK34" s="12">
        <v>0</v>
      </c>
      <c r="AL34" s="12">
        <v>0</v>
      </c>
      <c r="AM34" s="12">
        <v>0</v>
      </c>
      <c r="AN34" s="12">
        <v>0</v>
      </c>
      <c r="AO34" s="12">
        <v>0</v>
      </c>
      <c r="AP34" s="12">
        <v>0</v>
      </c>
      <c r="AQ34" s="12">
        <v>0</v>
      </c>
      <c r="AR34" s="12">
        <v>0</v>
      </c>
      <c r="AS34" s="28"/>
      <c r="AT34" s="28"/>
      <c r="AU34" s="12">
        <f>IF($H34=3,IF(OR($F34="DDV",$F34="DDG",$F34="DD"),'Fleet Tech - Tech'!B$3,IF($F34="CL",'Fleet Tech - Tech'!B$4,IF($F34="CA",'Fleet Tech - Tech'!B$5,IF($F34="BC",'Fleet Tech - Tech'!B$6,IF($F34="BB",'Fleet Tech - Tech'!B$7,IF($F34="CVL",'Fleet Tech - Tech'!B$8,IF($F34="CV",'Fleet Tech - Tech'!B$9,IF($F34="SS",'Fleet Tech - Tech'!B$10,IF($F34="BBV",'Fleet Tech - Tech'!B$11,IF($F34="CB",'Fleet Tech - Tech'!B$15,IF($F34="AE",'Fleet Tech - Tech'!B$16,IF($F34="IX",'Fleet Tech - Tech'!B$17,IF($F34="BM",'Fleet Tech - Tech'!B$13,IF($F34="AR",'Fleet Tech - Tech'!B$12,IF($F34="SSV",'Fleet Tech - Tech'!B$14,"nil"))))))))))))))),0)</f>
        <v>128</v>
      </c>
      <c r="AV34" s="12">
        <f>IF($H34=3,IF(OR($F34="DDV",$F34="DDG",$F34="DD"),'Fleet Tech - Tech'!C$3,IF($F34="CL",'Fleet Tech - Tech'!C$4,IF($F34="CA",'Fleet Tech - Tech'!C$5,IF($F34="BC",'Fleet Tech - Tech'!C$6,IF($F34="BB",'Fleet Tech - Tech'!C$7,IF($F34="CVL",'Fleet Tech - Tech'!C$8,IF($F34="CV",'Fleet Tech - Tech'!C$9,IF($F34="SS",'Fleet Tech - Tech'!C$10,IF($F34="BBV",'Fleet Tech - Tech'!C$11,IF($F34="CB",'Fleet Tech - Tech'!C$15,IF($F34="AE",'Fleet Tech - Tech'!C$16,IF($F34="IX",'Fleet Tech - Tech'!C$17,IF($F34="BM",'Fleet Tech - Tech'!C$13,IF($F34="AR",'Fleet Tech - Tech'!C$12,IF($F34="SSV",'Fleet Tech - Tech'!C$14,"nil"))))))))))))))),0)</f>
        <v>11</v>
      </c>
      <c r="AW34" s="12">
        <f>IF($H34=3,IF(OR($F34="DDV",$F34="DDG",$F34="DD"),'Fleet Tech - Tech'!D$3,IF($F34="CL",'Fleet Tech - Tech'!D$4,IF($F34="CA",'Fleet Tech - Tech'!D$5,IF($F34="BC",'Fleet Tech - Tech'!D$6,IF($F34="BB",'Fleet Tech - Tech'!D$7,IF($F34="CVL",'Fleet Tech - Tech'!D$8,IF($F34="CV",'Fleet Tech - Tech'!D$9,IF($F34="SS",'Fleet Tech - Tech'!D$10,IF($F34="BBV",'Fleet Tech - Tech'!D$11,IF($F34="CB",'Fleet Tech - Tech'!D$15,IF($F34="AE",'Fleet Tech - Tech'!D$16,IF($F34="IX",'Fleet Tech - Tech'!D$17,IF($F34="BM",'Fleet Tech - Tech'!D$13,IF($F34="AR",'Fleet Tech - Tech'!D$12,IF($F34="SSV",'Fleet Tech - Tech'!D$14,"nil"))))))))))))))),0)</f>
        <v>3</v>
      </c>
      <c r="AX34" s="12">
        <f>IF($H34=3,IF(OR($F34="DDV",$F34="DDG",$F34="DD"),'Fleet Tech - Tech'!E$3,IF($F34="CL",'Fleet Tech - Tech'!E$4,IF($F34="CA",'Fleet Tech - Tech'!E$5,IF($F34="BC",'Fleet Tech - Tech'!E$6,IF($F34="BB",'Fleet Tech - Tech'!E$7,IF($F34="CVL",'Fleet Tech - Tech'!E$8,IF($F34="CV",'Fleet Tech - Tech'!E$9,IF($F34="SS",'Fleet Tech - Tech'!E$10,IF($F34="BBV",'Fleet Tech - Tech'!E$11,IF($F34="CB",'Fleet Tech - Tech'!E$15,IF($F34="AE",'Fleet Tech - Tech'!E$16,IF($F34="IX",'Fleet Tech - Tech'!E$17,IF($F34="BM",'Fleet Tech - Tech'!E$13,IF($F34="AR",'Fleet Tech - Tech'!E$12,IF($F34="SSV",'Fleet Tech - Tech'!E$14,"nil"))))))))))))))),0)</f>
        <v>2</v>
      </c>
      <c r="AY34" s="12">
        <f>IF($H34=3,IF(OR($F34="DDV",$F34="DDG",$F34="DD"),'Fleet Tech - Tech'!F$3,IF($F34="CL",'Fleet Tech - Tech'!F$4,IF($F34="CA",'Fleet Tech - Tech'!F$5,IF($F34="BC",'Fleet Tech - Tech'!F$6,IF($F34="BB",'Fleet Tech - Tech'!F$7,IF($F34="CVL",'Fleet Tech - Tech'!F$8,IF($F34="CV",'Fleet Tech - Tech'!F$9,IF($F34="SS",'Fleet Tech - Tech'!F$10,IF($F34="BBV",'Fleet Tech - Tech'!F$11,IF($F34="CB",'Fleet Tech - Tech'!F$15,IF($F34="AE",'Fleet Tech - Tech'!F$16,IF($F34="IX",'Fleet Tech - Tech'!F$17,IF($F34="BM",'Fleet Tech - Tech'!F$13,IF($F34="AR",'Fleet Tech - Tech'!F$12,IF($F34="SSV",'Fleet Tech - Tech'!F$14,"nil"))))))))))))))),0)</f>
        <v>0</v>
      </c>
      <c r="AZ34" s="12">
        <f>IF($H34=3,IF(OR($F34="DDV",$F34="DDG",$F34="DD"),'Fleet Tech - Tech'!G$3,IF($F34="CL",'Fleet Tech - Tech'!G$4,IF($F34="CA",'Fleet Tech - Tech'!G$5,IF($F34="BC",'Fleet Tech - Tech'!G$6,IF($F34="BB",'Fleet Tech - Tech'!G$7,IF($F34="CVL",'Fleet Tech - Tech'!G$8,IF($F34="CV",'Fleet Tech - Tech'!G$9,IF($F34="SS",'Fleet Tech - Tech'!G$10,IF($F34="BBV",'Fleet Tech - Tech'!G$11,IF($F34="CB",'Fleet Tech - Tech'!G$15,IF($F34="AE",'Fleet Tech - Tech'!G$16,IF($F34="IX",'Fleet Tech - Tech'!G$17,IF($F34="BM",'Fleet Tech - Tech'!G$13,IF($F34="AR",'Fleet Tech - Tech'!G$12,IF($F34="SSV",'Fleet Tech - Tech'!G$14,"nil"))))))))))))))),0)</f>
        <v>1</v>
      </c>
      <c r="BA34" s="12">
        <f>IF($H34=3,IF(OR($F34="DDV",$F34="DDG",$F34="DD"),'Fleet Tech - Tech'!H$3,IF($F34="CL",'Fleet Tech - Tech'!H$4,IF($F34="CA",'Fleet Tech - Tech'!H$5,IF($F34="BC",'Fleet Tech - Tech'!H$6,IF($F34="BB",'Fleet Tech - Tech'!H$7,IF($F34="CVL",'Fleet Tech - Tech'!H$8,IF($F34="CV",'Fleet Tech - Tech'!H$9,IF($F34="SS",'Fleet Tech - Tech'!H$10,IF($F34="BBV",'Fleet Tech - Tech'!H$11,IF($F34="CB",'Fleet Tech - Tech'!H$15,IF($F34="AE",'Fleet Tech - Tech'!H$16,IF($F34="IX",'Fleet Tech - Tech'!H$17,IF($F34="BM",'Fleet Tech - Tech'!H$13,IF($F34="AR",'Fleet Tech - Tech'!H$12,IF($F34="SSV",'Fleet Tech - Tech'!H$14,"nil"))))))))))))))),0)</f>
        <v>0</v>
      </c>
      <c r="BB34" s="12">
        <f>IF($H34=3,IF(OR($F34="DDV",$F34="DDG",$F34="DD"),'Fleet Tech - Tech'!I$3,IF($F34="CL",'Fleet Tech - Tech'!I$4,IF($F34="CA",'Fleet Tech - Tech'!I$5,IF($F34="BC",'Fleet Tech - Tech'!I$6,IF($F34="BB",'Fleet Tech - Tech'!I$7,IF($F34="CVL",'Fleet Tech - Tech'!I$8,IF($F34="CV",'Fleet Tech - Tech'!I$9,IF($F34="SS",'Fleet Tech - Tech'!I$10,IF($F34="BBV",'Fleet Tech - Tech'!I$11,IF($F34="CB",'Fleet Tech - Tech'!I$15,IF($F34="AE",'Fleet Tech - Tech'!I$16,IF($F34="IX",'Fleet Tech - Tech'!I$17,IF($F34="BM",'Fleet Tech - Tech'!I$13,IF($F34="AR",'Fleet Tech - Tech'!I$12,IF($F34="SSV",'Fleet Tech - Tech'!I$14,"nil"))))))))))))))),0)</f>
        <v>0</v>
      </c>
      <c r="BC34" s="12">
        <f>IF($H34=3,IF(OR($F34="DDV",$F34="DDG",$F34="DD"),'Fleet Tech - Tech'!J$3,IF($F34="CL",'Fleet Tech - Tech'!J$4,IF($F34="CA",'Fleet Tech - Tech'!J$5,IF($F34="BC",'Fleet Tech - Tech'!J$6,IF($F34="BB",'Fleet Tech - Tech'!J$7,IF($F34="CVL",'Fleet Tech - Tech'!J$8,IF($F34="CV",'Fleet Tech - Tech'!J$9,IF($F34="SS",'Fleet Tech - Tech'!J$10,IF($F34="BBV",'Fleet Tech - Tech'!J$11,IF($F34="CB",'Fleet Tech - Tech'!J$15,IF($F34="AE",'Fleet Tech - Tech'!J$16,IF($F34="IX",'Fleet Tech - Tech'!J$17,IF($F34="BM",'Fleet Tech - Tech'!J$13,IF($F34="AR",'Fleet Tech - Tech'!J$12,IF($F34="SSV",'Fleet Tech - Tech'!J$14,"nil"))))))))))))))),0)</f>
        <v>0</v>
      </c>
      <c r="BD34" s="12">
        <f>IF($H34=3,IF(OR($F34="DDV",$F34="DDG",$F34="DD"),'Fleet Tech - Tech'!K$3,IF($F34="CL",'Fleet Tech - Tech'!K$4,IF($F34="CA",'Fleet Tech - Tech'!K$5,IF($F34="BC",'Fleet Tech - Tech'!K$6,IF($F34="BB",'Fleet Tech - Tech'!K$7,IF($F34="CVL",'Fleet Tech - Tech'!K$8,IF($F34="CV",'Fleet Tech - Tech'!K$9,IF($F34="SS",'Fleet Tech - Tech'!K$10,IF($F34="BBV",'Fleet Tech - Tech'!K$11,IF($F34="CB",'Fleet Tech - Tech'!K$15,IF($F34="AE",'Fleet Tech - Tech'!K$16,IF($F34="IX",'Fleet Tech - Tech'!K$17,IF($F34="BM",'Fleet Tech - Tech'!K$13,IF($F34="AR",'Fleet Tech - Tech'!K$12,IF($F34="SSV",'Fleet Tech - Tech'!K$14,"nil"))))))))))))))),0)</f>
        <v>0</v>
      </c>
      <c r="BE34" s="12">
        <f>IF($H34=3,IF(OR($F34="DDV",$F34="DDG",$F34="DD"),'Fleet Tech - Tech'!L$3,IF($F34="CL",'Fleet Tech - Tech'!L$4,IF($F34="CA",'Fleet Tech - Tech'!L$5,IF($F34="BC",'Fleet Tech - Tech'!L$6,IF($F34="BB",'Fleet Tech - Tech'!L$7,IF($F34="CVL",'Fleet Tech - Tech'!L$8,IF($F34="CV",'Fleet Tech - Tech'!L$9,IF($F34="SS",'Fleet Tech - Tech'!L$10,IF($F34="BBV",'Fleet Tech - Tech'!L$11,IF($F34="CB",'Fleet Tech - Tech'!L$15,IF($F34="AE",'Fleet Tech - Tech'!L$16,IF($F34="IX",'Fleet Tech - Tech'!L$17,IF($F34="BM",'Fleet Tech - Tech'!L$13,IF($F34="AR",'Fleet Tech - Tech'!L$12,IF($F34="SSV",'Fleet Tech - Tech'!L$14,"nil"))))))))))))))),0)</f>
        <v>1</v>
      </c>
      <c r="BF34" s="12">
        <f>IF($H34=3,IF(OR($F34="DDV",$F34="DDG",$F34="DD"),'Fleet Tech - Tech'!M$3,IF($F34="CL",'Fleet Tech - Tech'!M$4,IF($F34="CA",'Fleet Tech - Tech'!M$5,IF($F34="BC",'Fleet Tech - Tech'!M$6,IF($F34="BB",'Fleet Tech - Tech'!M$7,IF($F34="CVL",'Fleet Tech - Tech'!M$8,IF($F34="CV",'Fleet Tech - Tech'!M$9,IF($F34="SS",'Fleet Tech - Tech'!M$10,IF($F34="BBV",'Fleet Tech - Tech'!M$11,IF($F34="CB",'Fleet Tech - Tech'!M$15,IF($F34="AE",'Fleet Tech - Tech'!M$16,IF($F34="IX",'Fleet Tech - Tech'!M$17,IF($F34="BM",'Fleet Tech - Tech'!M$13,IF($F34="AR",'Fleet Tech - Tech'!M$12,IF($F34="SSV",'Fleet Tech - Tech'!M$14,"nil"))))))))))))))),0)</f>
        <v>5</v>
      </c>
      <c r="BG34" s="12">
        <f>IF($H34=3,IF(OR($F34="DDV",$F34="DDG",$F34="DD"),'Fleet Tech - Tech'!N$3,IF($F34="CL",'Fleet Tech - Tech'!N$4,IF($F34="CA",'Fleet Tech - Tech'!N$5,IF($F34="BC",'Fleet Tech - Tech'!N$6,IF($F34="BB",'Fleet Tech - Tech'!N$7,IF($F34="CVL",'Fleet Tech - Tech'!N$8,IF($F34="CV",'Fleet Tech - Tech'!N$9,IF($F34="SS",'Fleet Tech - Tech'!N$10,IF($F34="BBV",'Fleet Tech - Tech'!N$11,IF($F34="CB",'Fleet Tech - Tech'!N$15,IF($F34="AE",'Fleet Tech - Tech'!N$16,IF($F34="IX",'Fleet Tech - Tech'!N$17,IF($F34="BM",'Fleet Tech - Tech'!N$13,IF($F34="AR",'Fleet Tech - Tech'!N$12,IF($F34="SSV",'Fleet Tech - Tech'!N$14,"nil"))))))))))))))),0)</f>
        <v>0</v>
      </c>
      <c r="BH34" s="28"/>
      <c r="BI34" s="12">
        <v>4956</v>
      </c>
      <c r="BJ34" s="12">
        <v>221</v>
      </c>
      <c r="BK34" s="12">
        <v>264</v>
      </c>
      <c r="BL34" s="12">
        <v>0</v>
      </c>
      <c r="BM34" s="12">
        <v>23</v>
      </c>
      <c r="BN34" s="12">
        <v>0</v>
      </c>
      <c r="BO34" s="12">
        <v>0</v>
      </c>
      <c r="BP34" s="12">
        <v>0</v>
      </c>
      <c r="BQ34" s="12">
        <v>26</v>
      </c>
      <c r="BR34" s="12">
        <v>11</v>
      </c>
      <c r="BS34" s="12">
        <v>183</v>
      </c>
      <c r="BT34" s="12">
        <v>61</v>
      </c>
      <c r="BU34" s="12">
        <v>131</v>
      </c>
      <c r="BV34" s="12">
        <v>335</v>
      </c>
      <c r="BW34" s="28"/>
      <c r="BX34" s="12">
        <v>-1</v>
      </c>
      <c r="BY34" s="12">
        <v>-1</v>
      </c>
      <c r="BZ34" s="12">
        <v>-1</v>
      </c>
      <c r="CA34" s="12">
        <v>-1</v>
      </c>
      <c r="CB34" s="12">
        <v>-1</v>
      </c>
      <c r="CC34" s="12">
        <v>-1</v>
      </c>
      <c r="CD34" s="12">
        <v>-1</v>
      </c>
      <c r="CE34" s="12">
        <v>-1</v>
      </c>
      <c r="CF34" s="12">
        <v>-1</v>
      </c>
      <c r="CG34" s="12">
        <v>-1</v>
      </c>
      <c r="CH34" s="12">
        <v>-1</v>
      </c>
      <c r="CI34" s="12">
        <v>-1</v>
      </c>
      <c r="CJ34" s="47"/>
      <c r="CK34" s="48">
        <f>IF(BX34=5,320,IF(BX34=4,195,IF(BX34=3,132,IF(BX34=2,90,IF(BX34=1,58,IF(BX34=-1,0,35))))))</f>
        <v>0</v>
      </c>
      <c r="CL34" s="48">
        <f>IF(BX34=5,20,IF(BX34=4,15,IF(BX34=3,12,IF(BX34=2,10,IF(BX34=1,8,IF(BX34=-1,0,5))))))</f>
        <v>0</v>
      </c>
      <c r="CM34" s="48">
        <f>IF(BZ34=5,320,IF(BZ34=4,195,IF(BZ34=3,132,IF(BZ34=2,90,IF(BZ34=1,58,IF(BZ34=-1,0,35))))))</f>
        <v>0</v>
      </c>
      <c r="CN34" s="48">
        <f>IF(BZ34=5,20,IF(BZ34=4,15,IF(BZ34=3,12,IF(BZ34=2,10,IF(BZ34=1,8,IF(BZ34=-1,0,5))))))</f>
        <v>0</v>
      </c>
      <c r="CO34" s="48">
        <f>IF(CB34=5,320,IF(CB34=4,195,IF(CB34=3,132,IF(CB34=2,90,IF(CB34=1,58,IF(CB34=-1,0,35))))))</f>
        <v>0</v>
      </c>
      <c r="CP34" s="48">
        <f>IF(CB34=5,20,IF(CB34=4,15,IF(CB34=3,12,IF(CB34=2,10,IF(CB34=1,8,IF(CB34=-1,0,5))))))</f>
        <v>0</v>
      </c>
      <c r="CQ34" s="48">
        <f>IF(CD34=5,320,IF(CD34=4,195,IF(CD34=3,132,IF(CD34=2,90,IF(CD34=1,58,IF(CD34=-1,0,35))))))</f>
        <v>0</v>
      </c>
      <c r="CR34" s="48">
        <f>IF(CD34=5,20,IF(CD34=4,15,IF(CD34=3,12,IF(CD34=2,10,IF(CD34=1,8,IF(CD34=-1,0,5))))))</f>
        <v>0</v>
      </c>
      <c r="CS34" s="48">
        <f>IF(CF34=5,320,IF(CF34=4,195,IF(CF34=3,132,IF(CF34=2,90,IF(CF34=1,58,IF(CF34=-1,0,35))))))</f>
        <v>0</v>
      </c>
      <c r="CT34" s="48">
        <f>IF(CF34=5,20,IF(CF34=4,15,IF(CF34=3,12,IF(CF34=2,10,IF(CF34=1,8,IF(CF34=-1,0,5))))))</f>
        <v>0</v>
      </c>
      <c r="CU34" s="48">
        <f>IF(CH34=5,320,IF(CH34=4,195,IF(CH34=3,132,IF(CH34=2,90,IF(CH34=1,58,IF(CH34=-1,0,35))))))</f>
        <v>0</v>
      </c>
      <c r="CV34" s="48">
        <f>IF(CH34=5,20,IF(CH34=4,15,IF(CH34=3,12,IF(CH34=2,10,IF(CH34=1,8,IF(CH34=-1,0,5))))))</f>
        <v>0</v>
      </c>
      <c r="CW34" s="48">
        <f>IF(BY34&gt;10,(BY34/10)-ROUNDDOWN(BY34/10,0),0)+IF(CA34&gt;10,(CA34/10)-ROUNDDOWN(CA34/10,0),0)+IF(CC34&gt;10,(CC34/10)-ROUNDDOWN(CC34/10,0),0)+IF(CE34&gt;10,(CE34/10)-ROUNDDOWN(CE34/10,0),0)+IF(CG34&gt;10,(CG34/10)-ROUNDDOWN(CG34/10,0),0)+IF(CI34&gt;10,(CI34/10)-ROUNDDOWN(CI34/10,0),0)</f>
        <v>0</v>
      </c>
      <c r="CX34" s="48">
        <f>1+(CW34/10)</f>
        <v>1</v>
      </c>
    </row>
    <row r="35" ht="20.05" customHeight="1">
      <c r="A35" t="s" s="43">
        <v>310</v>
      </c>
      <c r="B35" s="49"/>
      <c r="C35" t="s" s="45">
        <v>73</v>
      </c>
      <c r="D35" s="13">
        <v>7</v>
      </c>
      <c r="E35" t="s" s="15">
        <v>240</v>
      </c>
      <c r="F35" t="s" s="15">
        <v>297</v>
      </c>
      <c r="G35" t="s" s="15">
        <v>253</v>
      </c>
      <c r="H35" s="12">
        <v>3</v>
      </c>
      <c r="I35" t="s" s="15">
        <v>277</v>
      </c>
      <c r="J35" s="12">
        <v>110</v>
      </c>
      <c r="K35" t="s" s="14">
        <v>242</v>
      </c>
      <c r="L35" t="s" s="15">
        <v>265</v>
      </c>
      <c r="M35" t="s" s="15">
        <v>27</v>
      </c>
      <c r="N35" s="46">
        <f>ROUND((SUM(AA35,T35:Y35,AC35:AE35,Z35*10)-AB35*15)*(IF(K35="Heavy",0.15,IF(K35="Medium",0,IF(K35="Light",-0.15,10)))+1),0)</f>
        <v>978</v>
      </c>
      <c r="O35" s="46">
        <v>2647</v>
      </c>
      <c r="P35" s="46">
        <f>ROUNDDOWN((BI35+AU35+AG35)/5,0)+(BJ35+AV35+AH35)+(BN35+AZ35+AL35)+(BO35+BA35+AM35)+(BK35+AW35+AI35)+(BS35+BE35+AQ35)+(BL35+AX35+AJ35)+(BQ35+BC35+AO35)+(2*((BT35+BF35+AR35)+(BU35+BG35+AS35)))+(CK35+CM35+CO35+CQ35+CS35+CU35)+(CL35*BY35)+(CN35*CA35)+(CP35+CC35)+(CR35+CE35)+(CT35+CG35)+(CV35+CI35)+BV35</f>
        <v>2636</v>
      </c>
      <c r="Q35" s="46">
        <f>ROUNDDOWN(((S35/5)+T35+X35+Y35+U35+AC35+V35+AA35+(2*(AD35+AE35))+CK35+CM35+CO35+CQ35+CS35+CU35+(CL35*BX35)+(CN35*BZ35)+(CP35*CB35)+(CR35*CD35)+(CT35*CF35)+(CV35*CH35))*CX35,0)</f>
        <v>2318</v>
      </c>
      <c r="R35" s="46">
        <f>ROUNDDOWN(AVERAGE(P35:Q35),0)</f>
        <v>2477</v>
      </c>
      <c r="S35" s="12">
        <f>AG35+AU35+BI35</f>
        <v>4727</v>
      </c>
      <c r="T35" s="12">
        <f>AH35+AV35+BJ35</f>
        <v>0</v>
      </c>
      <c r="U35" s="12">
        <f>AI35+AW35+BK35</f>
        <v>306</v>
      </c>
      <c r="V35" s="12">
        <f>AJ35+AX35+BL35</f>
        <v>115</v>
      </c>
      <c r="W35" s="12">
        <f>AK35+AY35+BM35</f>
        <v>68</v>
      </c>
      <c r="X35" s="12">
        <f>AL35+AZ35+BN35</f>
        <v>0</v>
      </c>
      <c r="Y35" s="12">
        <f>AM35+BA35+BO35</f>
        <v>314</v>
      </c>
      <c r="Z35" s="12">
        <f>AN35+BB35+BP35</f>
        <v>0</v>
      </c>
      <c r="AA35" s="12">
        <f>AO35+BC35+BQ35</f>
        <v>16</v>
      </c>
      <c r="AB35" s="12">
        <f>AP35+BD35+BR35</f>
        <v>10</v>
      </c>
      <c r="AC35" s="12">
        <f>AQ35+BE35+BS35</f>
        <v>164</v>
      </c>
      <c r="AD35" s="12">
        <f>AR35+BF35+BT35</f>
        <v>62</v>
      </c>
      <c r="AE35" s="12">
        <f>AS35+BG35+BU35</f>
        <v>83</v>
      </c>
      <c r="AF35" s="28"/>
      <c r="AG35" s="12">
        <v>0</v>
      </c>
      <c r="AH35" s="12">
        <v>0</v>
      </c>
      <c r="AI35" s="12">
        <v>25</v>
      </c>
      <c r="AJ35" s="12">
        <v>0</v>
      </c>
      <c r="AK35" s="12">
        <v>0</v>
      </c>
      <c r="AL35" s="12">
        <v>0</v>
      </c>
      <c r="AM35" s="12">
        <v>0</v>
      </c>
      <c r="AN35" s="12">
        <v>0</v>
      </c>
      <c r="AO35" s="12">
        <v>0</v>
      </c>
      <c r="AP35" s="12">
        <v>0</v>
      </c>
      <c r="AQ35" s="12">
        <v>0</v>
      </c>
      <c r="AR35" s="12">
        <v>0</v>
      </c>
      <c r="AS35" s="12">
        <v>0</v>
      </c>
      <c r="AT35" s="28"/>
      <c r="AU35" s="12">
        <f>IF($H35=3,IF(OR($F35="DDV",$F35="DDG",$F35="DD"),'Fleet Tech - Tech'!B$3,IF($F35="CL",'Fleet Tech - Tech'!B$4,IF($F35="CA",'Fleet Tech - Tech'!B$5,IF($F35="BC",'Fleet Tech - Tech'!B$6,IF($F35="BB",'Fleet Tech - Tech'!B$7,IF($F35="CVL",'Fleet Tech - Tech'!B$8,IF($F35="CV",'Fleet Tech - Tech'!B$9,IF($F35="SS",'Fleet Tech - Tech'!B$10,IF($F35="BBV",'Fleet Tech - Tech'!B$11,IF($F35="CB",'Fleet Tech - Tech'!B$15,IF($F35="AE",'Fleet Tech - Tech'!B$16,IF($F35="IX",'Fleet Tech - Tech'!B$17,IF($F35="BM",'Fleet Tech - Tech'!B$13,IF($F35="AR",'Fleet Tech - Tech'!B$12,IF($F35="SSV",'Fleet Tech - Tech'!B$14,"nil"))))))))))))))),0)</f>
        <v>49</v>
      </c>
      <c r="AV35" s="12">
        <f>IF($H35=3,IF(OR($F35="DDV",$F35="DDG",$F35="DD"),'Fleet Tech - Tech'!C$3,IF($F35="CL",'Fleet Tech - Tech'!C$4,IF($F35="CA",'Fleet Tech - Tech'!C$5,IF($F35="BC",'Fleet Tech - Tech'!C$6,IF($F35="BB",'Fleet Tech - Tech'!C$7,IF($F35="CVL",'Fleet Tech - Tech'!C$8,IF($F35="CV",'Fleet Tech - Tech'!C$9,IF($F35="SS",'Fleet Tech - Tech'!C$10,IF($F35="BBV",'Fleet Tech - Tech'!C$11,IF($F35="CB",'Fleet Tech - Tech'!C$15,IF($F35="AE",'Fleet Tech - Tech'!C$16,IF($F35="IX",'Fleet Tech - Tech'!C$17,IF($F35="BM",'Fleet Tech - Tech'!C$13,IF($F35="AR",'Fleet Tech - Tech'!C$12,IF($F35="SSV",'Fleet Tech - Tech'!C$14,"nil"))))))))))))))),0)</f>
        <v>0</v>
      </c>
      <c r="AW35" s="12">
        <f>IF($H35=3,IF(OR($F35="DDV",$F35="DDG",$F35="DD"),'Fleet Tech - Tech'!D$3,IF($F35="CL",'Fleet Tech - Tech'!D$4,IF($F35="CA",'Fleet Tech - Tech'!D$5,IF($F35="BC",'Fleet Tech - Tech'!D$6,IF($F35="BB",'Fleet Tech - Tech'!D$7,IF($F35="CVL",'Fleet Tech - Tech'!D$8,IF($F35="CV",'Fleet Tech - Tech'!D$9,IF($F35="SS",'Fleet Tech - Tech'!D$10,IF($F35="BBV",'Fleet Tech - Tech'!D$11,IF($F35="CB",'Fleet Tech - Tech'!D$15,IF($F35="AE",'Fleet Tech - Tech'!D$16,IF($F35="IX",'Fleet Tech - Tech'!D$17,IF($F35="BM",'Fleet Tech - Tech'!D$13,IF($F35="AR",'Fleet Tech - Tech'!D$12,IF($F35="SSV",'Fleet Tech - Tech'!D$14,"nil"))))))))))))))),0)</f>
        <v>0</v>
      </c>
      <c r="AX35" s="12">
        <f>IF($H35=3,IF(OR($F35="DDV",$F35="DDG",$F35="DD"),'Fleet Tech - Tech'!E$3,IF($F35="CL",'Fleet Tech - Tech'!E$4,IF($F35="CA",'Fleet Tech - Tech'!E$5,IF($F35="BC",'Fleet Tech - Tech'!E$6,IF($F35="BB",'Fleet Tech - Tech'!E$7,IF($F35="CVL",'Fleet Tech - Tech'!E$8,IF($F35="CV",'Fleet Tech - Tech'!E$9,IF($F35="SS",'Fleet Tech - Tech'!E$10,IF($F35="BBV",'Fleet Tech - Tech'!E$11,IF($F35="CB",'Fleet Tech - Tech'!E$15,IF($F35="AE",'Fleet Tech - Tech'!E$16,IF($F35="IX",'Fleet Tech - Tech'!E$17,IF($F35="BM",'Fleet Tech - Tech'!E$13,IF($F35="AR",'Fleet Tech - Tech'!E$12,IF($F35="SSV",'Fleet Tech - Tech'!E$14,"nil"))))))))))))))),0)</f>
        <v>18</v>
      </c>
      <c r="AY35" s="12">
        <f>IF($H35=3,IF(OR($F35="DDV",$F35="DDG",$F35="DD"),'Fleet Tech - Tech'!F$3,IF($F35="CL",'Fleet Tech - Tech'!F$4,IF($F35="CA",'Fleet Tech - Tech'!F$5,IF($F35="BC",'Fleet Tech - Tech'!F$6,IF($F35="BB",'Fleet Tech - Tech'!F$7,IF($F35="CVL",'Fleet Tech - Tech'!F$8,IF($F35="CV",'Fleet Tech - Tech'!F$9,IF($F35="SS",'Fleet Tech - Tech'!F$10,IF($F35="BBV",'Fleet Tech - Tech'!F$11,IF($F35="CB",'Fleet Tech - Tech'!F$15,IF($F35="AE",'Fleet Tech - Tech'!F$16,IF($F35="IX",'Fleet Tech - Tech'!F$17,IF($F35="BM",'Fleet Tech - Tech'!F$13,IF($F35="AR",'Fleet Tech - Tech'!F$12,IF($F35="SSV",'Fleet Tech - Tech'!F$14,"nil"))))))))))))))),0)</f>
        <v>0</v>
      </c>
      <c r="AZ35" s="12">
        <f>IF($H35=3,IF(OR($F35="DDV",$F35="DDG",$F35="DD"),'Fleet Tech - Tech'!G$3,IF($F35="CL",'Fleet Tech - Tech'!G$4,IF($F35="CA",'Fleet Tech - Tech'!G$5,IF($F35="BC",'Fleet Tech - Tech'!G$6,IF($F35="BB",'Fleet Tech - Tech'!G$7,IF($F35="CVL",'Fleet Tech - Tech'!G$8,IF($F35="CV",'Fleet Tech - Tech'!G$9,IF($F35="SS",'Fleet Tech - Tech'!G$10,IF($F35="BBV",'Fleet Tech - Tech'!G$11,IF($F35="CB",'Fleet Tech - Tech'!G$15,IF($F35="AE",'Fleet Tech - Tech'!G$16,IF($F35="IX",'Fleet Tech - Tech'!G$17,IF($F35="BM",'Fleet Tech - Tech'!G$13,IF($F35="AR",'Fleet Tech - Tech'!G$12,IF($F35="SSV",'Fleet Tech - Tech'!G$14,"nil"))))))))))))))),0)</f>
        <v>0</v>
      </c>
      <c r="BA35" s="12">
        <f>IF($H35=3,IF(OR($F35="DDV",$F35="DDG",$F35="DD"),'Fleet Tech - Tech'!H$3,IF($F35="CL",'Fleet Tech - Tech'!H$4,IF($F35="CA",'Fleet Tech - Tech'!H$5,IF($F35="BC",'Fleet Tech - Tech'!H$6,IF($F35="BB",'Fleet Tech - Tech'!H$7,IF($F35="CVL",'Fleet Tech - Tech'!H$8,IF($F35="CV",'Fleet Tech - Tech'!H$9,IF($F35="SS",'Fleet Tech - Tech'!H$10,IF($F35="BBV",'Fleet Tech - Tech'!H$11,IF($F35="CB",'Fleet Tech - Tech'!H$15,IF($F35="AE",'Fleet Tech - Tech'!H$16,IF($F35="IX",'Fleet Tech - Tech'!H$17,IF($F35="BM",'Fleet Tech - Tech'!H$13,IF($F35="AR",'Fleet Tech - Tech'!H$12,IF($F35="SSV",'Fleet Tech - Tech'!H$14,"nil"))))))))))))))),0)</f>
        <v>12</v>
      </c>
      <c r="BB35" s="12">
        <f>IF($H35=3,IF(OR($F35="DDV",$F35="DDG",$F35="DD"),'Fleet Tech - Tech'!I$3,IF($F35="CL",'Fleet Tech - Tech'!I$4,IF($F35="CA",'Fleet Tech - Tech'!I$5,IF($F35="BC",'Fleet Tech - Tech'!I$6,IF($F35="BB",'Fleet Tech - Tech'!I$7,IF($F35="CVL",'Fleet Tech - Tech'!I$8,IF($F35="CV",'Fleet Tech - Tech'!I$9,IF($F35="SS",'Fleet Tech - Tech'!I$10,IF($F35="BBV",'Fleet Tech - Tech'!I$11,IF($F35="CB",'Fleet Tech - Tech'!I$15,IF($F35="AE",'Fleet Tech - Tech'!I$16,IF($F35="IX",'Fleet Tech - Tech'!I$17,IF($F35="BM",'Fleet Tech - Tech'!I$13,IF($F35="AR",'Fleet Tech - Tech'!I$12,IF($F35="SSV",'Fleet Tech - Tech'!I$14,"nil"))))))))))))))),0)</f>
        <v>0</v>
      </c>
      <c r="BC35" s="12">
        <f>IF($H35=3,IF(OR($F35="DDV",$F35="DDG",$F35="DD"),'Fleet Tech - Tech'!J$3,IF($F35="CL",'Fleet Tech - Tech'!J$4,IF($F35="CA",'Fleet Tech - Tech'!J$5,IF($F35="BC",'Fleet Tech - Tech'!J$6,IF($F35="BB",'Fleet Tech - Tech'!J$7,IF($F35="CVL",'Fleet Tech - Tech'!J$8,IF($F35="CV",'Fleet Tech - Tech'!J$9,IF($F35="SS",'Fleet Tech - Tech'!J$10,IF($F35="BBV",'Fleet Tech - Tech'!J$11,IF($F35="CB",'Fleet Tech - Tech'!J$15,IF($F35="AE",'Fleet Tech - Tech'!J$16,IF($F35="IX",'Fleet Tech - Tech'!J$17,IF($F35="BM",'Fleet Tech - Tech'!J$13,IF($F35="AR",'Fleet Tech - Tech'!J$12,IF($F35="SSV",'Fleet Tech - Tech'!J$14,"nil"))))))))))))))),0)</f>
        <v>0</v>
      </c>
      <c r="BD35" s="12">
        <f>IF($H35=3,IF(OR($F35="DDV",$F35="DDG",$F35="DD"),'Fleet Tech - Tech'!K$3,IF($F35="CL",'Fleet Tech - Tech'!K$4,IF($F35="CA",'Fleet Tech - Tech'!K$5,IF($F35="BC",'Fleet Tech - Tech'!K$6,IF($F35="BB",'Fleet Tech - Tech'!K$7,IF($F35="CVL",'Fleet Tech - Tech'!K$8,IF($F35="CV",'Fleet Tech - Tech'!K$9,IF($F35="SS",'Fleet Tech - Tech'!K$10,IF($F35="BBV",'Fleet Tech - Tech'!K$11,IF($F35="CB",'Fleet Tech - Tech'!K$15,IF($F35="AE",'Fleet Tech - Tech'!K$16,IF($F35="IX",'Fleet Tech - Tech'!K$17,IF($F35="BM",'Fleet Tech - Tech'!K$13,IF($F35="AR",'Fleet Tech - Tech'!K$12,IF($F35="SSV",'Fleet Tech - Tech'!K$14,"nil"))))))))))))))),0)</f>
        <v>0</v>
      </c>
      <c r="BE35" s="12">
        <f>IF($H35=3,IF(OR($F35="DDV",$F35="DDG",$F35="DD"),'Fleet Tech - Tech'!L$3,IF($F35="CL",'Fleet Tech - Tech'!L$4,IF($F35="CA",'Fleet Tech - Tech'!L$5,IF($F35="BC",'Fleet Tech - Tech'!L$6,IF($F35="BB",'Fleet Tech - Tech'!L$7,IF($F35="CVL",'Fleet Tech - Tech'!L$8,IF($F35="CV",'Fleet Tech - Tech'!L$9,IF($F35="SS",'Fleet Tech - Tech'!L$10,IF($F35="BBV",'Fleet Tech - Tech'!L$11,IF($F35="CB",'Fleet Tech - Tech'!L$15,IF($F35="AE",'Fleet Tech - Tech'!L$16,IF($F35="IX",'Fleet Tech - Tech'!L$17,IF($F35="BM",'Fleet Tech - Tech'!L$13,IF($F35="AR",'Fleet Tech - Tech'!L$12,IF($F35="SSV",'Fleet Tech - Tech'!L$14,"nil"))))))))))))))),0)</f>
        <v>4</v>
      </c>
      <c r="BF35" s="12">
        <f>IF($H35=3,IF(OR($F35="DDV",$F35="DDG",$F35="DD"),'Fleet Tech - Tech'!M$3,IF($F35="CL",'Fleet Tech - Tech'!M$4,IF($F35="CA",'Fleet Tech - Tech'!M$5,IF($F35="BC",'Fleet Tech - Tech'!M$6,IF($F35="BB",'Fleet Tech - Tech'!M$7,IF($F35="CVL",'Fleet Tech - Tech'!M$8,IF($F35="CV",'Fleet Tech - Tech'!M$9,IF($F35="SS",'Fleet Tech - Tech'!M$10,IF($F35="BBV",'Fleet Tech - Tech'!M$11,IF($F35="CB",'Fleet Tech - Tech'!M$15,IF($F35="AE",'Fleet Tech - Tech'!M$16,IF($F35="IX",'Fleet Tech - Tech'!M$17,IF($F35="BM",'Fleet Tech - Tech'!M$13,IF($F35="AR",'Fleet Tech - Tech'!M$12,IF($F35="SSV",'Fleet Tech - Tech'!M$14,"nil"))))))))))))))),0)</f>
        <v>0</v>
      </c>
      <c r="BG35" s="12">
        <f>IF($H35=3,IF(OR($F35="DDV",$F35="DDG",$F35="DD"),'Fleet Tech - Tech'!N$3,IF($F35="CL",'Fleet Tech - Tech'!N$4,IF($F35="CA",'Fleet Tech - Tech'!N$5,IF($F35="BC",'Fleet Tech - Tech'!N$6,IF($F35="BB",'Fleet Tech - Tech'!N$7,IF($F35="CVL",'Fleet Tech - Tech'!N$8,IF($F35="CV",'Fleet Tech - Tech'!N$9,IF($F35="SS",'Fleet Tech - Tech'!N$10,IF($F35="BBV",'Fleet Tech - Tech'!N$11,IF($F35="CB",'Fleet Tech - Tech'!N$15,IF($F35="AE",'Fleet Tech - Tech'!N$16,IF($F35="IX",'Fleet Tech - Tech'!N$17,IF($F35="BM",'Fleet Tech - Tech'!N$13,IF($F35="AR",'Fleet Tech - Tech'!N$12,IF($F35="SSV",'Fleet Tech - Tech'!N$14,"nil"))))))))))))))),0)</f>
        <v>2</v>
      </c>
      <c r="BH35" s="28"/>
      <c r="BI35" s="12">
        <v>4678</v>
      </c>
      <c r="BJ35" s="12">
        <v>0</v>
      </c>
      <c r="BK35" s="12">
        <v>281</v>
      </c>
      <c r="BL35" s="12">
        <v>97</v>
      </c>
      <c r="BM35" s="12">
        <v>68</v>
      </c>
      <c r="BN35" s="12">
        <v>0</v>
      </c>
      <c r="BO35" s="12">
        <v>302</v>
      </c>
      <c r="BP35" s="12">
        <v>0</v>
      </c>
      <c r="BQ35" s="12">
        <v>16</v>
      </c>
      <c r="BR35" s="12">
        <v>10</v>
      </c>
      <c r="BS35" s="12">
        <v>160</v>
      </c>
      <c r="BT35" s="12">
        <v>62</v>
      </c>
      <c r="BU35" s="12">
        <v>81</v>
      </c>
      <c r="BV35" s="12">
        <v>335</v>
      </c>
      <c r="BW35" s="28"/>
      <c r="BX35" s="12">
        <v>-1</v>
      </c>
      <c r="BY35" s="12">
        <v>-1</v>
      </c>
      <c r="BZ35" s="12">
        <v>-1</v>
      </c>
      <c r="CA35" s="12">
        <v>-1</v>
      </c>
      <c r="CB35" s="12">
        <v>3</v>
      </c>
      <c r="CC35" s="12">
        <v>10</v>
      </c>
      <c r="CD35" s="12">
        <v>-1</v>
      </c>
      <c r="CE35" s="12">
        <v>-1</v>
      </c>
      <c r="CF35" s="12">
        <v>-1</v>
      </c>
      <c r="CG35" s="12">
        <v>-1</v>
      </c>
      <c r="CH35" s="12">
        <v>-1</v>
      </c>
      <c r="CI35" s="12">
        <v>-1</v>
      </c>
      <c r="CJ35" s="47"/>
      <c r="CK35" s="48">
        <f>IF(BX35=5,320,IF(BX35=4,195,IF(BX35=3,132,IF(BX35=2,90,IF(BX35=1,58,IF(BX35=-1,0,35))))))</f>
        <v>0</v>
      </c>
      <c r="CL35" s="48">
        <f>IF(BX35=5,20,IF(BX35=4,15,IF(BX35=3,12,IF(BX35=2,10,IF(BX35=1,8,IF(BX35=-1,0,5))))))</f>
        <v>0</v>
      </c>
      <c r="CM35" s="48">
        <f>IF(BZ35=5,320,IF(BZ35=4,195,IF(BZ35=3,132,IF(BZ35=2,90,IF(BZ35=1,58,IF(BZ35=-1,0,35))))))</f>
        <v>0</v>
      </c>
      <c r="CN35" s="48">
        <f>IF(BZ35=5,20,IF(BZ35=4,15,IF(BZ35=3,12,IF(BZ35=2,10,IF(BZ35=1,8,IF(BZ35=-1,0,5))))))</f>
        <v>0</v>
      </c>
      <c r="CO35" s="48">
        <f>IF(CB35=5,320,IF(CB35=4,195,IF(CB35=3,132,IF(CB35=2,90,IF(CB35=1,58,IF(CB35=-1,0,35))))))</f>
        <v>132</v>
      </c>
      <c r="CP35" s="48">
        <f>IF(CB35=5,20,IF(CB35=4,15,IF(CB35=3,12,IF(CB35=2,10,IF(CB35=1,8,IF(CB35=-1,0,5))))))</f>
        <v>12</v>
      </c>
      <c r="CQ35" s="48">
        <f>IF(CD35=5,320,IF(CD35=4,195,IF(CD35=3,132,IF(CD35=2,90,IF(CD35=1,58,IF(CD35=-1,0,35))))))</f>
        <v>0</v>
      </c>
      <c r="CR35" s="48">
        <f>IF(CD35=5,20,IF(CD35=4,15,IF(CD35=3,12,IF(CD35=2,10,IF(CD35=1,8,IF(CD35=-1,0,5))))))</f>
        <v>0</v>
      </c>
      <c r="CS35" s="48">
        <f>IF(CF35=5,320,IF(CF35=4,195,IF(CF35=3,132,IF(CF35=2,90,IF(CF35=1,58,IF(CF35=-1,0,35))))))</f>
        <v>0</v>
      </c>
      <c r="CT35" s="48">
        <f>IF(CF35=5,20,IF(CF35=4,15,IF(CF35=3,12,IF(CF35=2,10,IF(CF35=1,8,IF(CF35=-1,0,5))))))</f>
        <v>0</v>
      </c>
      <c r="CU35" s="48">
        <f>IF(CH35=5,320,IF(CH35=4,195,IF(CH35=3,132,IF(CH35=2,90,IF(CH35=1,58,IF(CH35=-1,0,35))))))</f>
        <v>0</v>
      </c>
      <c r="CV35" s="48">
        <f>IF(CH35=5,20,IF(CH35=4,15,IF(CH35=3,12,IF(CH35=2,10,IF(CH35=1,8,IF(CH35=-1,0,5))))))</f>
        <v>0</v>
      </c>
      <c r="CW35" s="48">
        <f>IF(BY35&gt;10,(BY35/10)-ROUNDDOWN(BY35/10,0),0)+IF(CA35&gt;10,(CA35/10)-ROUNDDOWN(CA35/10,0),0)+IF(CC35&gt;10,(CC35/10)-ROUNDDOWN(CC35/10,0),0)+IF(CE35&gt;10,(CE35/10)-ROUNDDOWN(CE35/10,0),0)+IF(CG35&gt;10,(CG35/10)-ROUNDDOWN(CG35/10,0),0)+IF(CI35&gt;10,(CI35/10)-ROUNDDOWN(CI35/10,0),0)</f>
        <v>0</v>
      </c>
      <c r="CX35" s="48">
        <f>1+(CW35/10)</f>
        <v>1</v>
      </c>
    </row>
    <row r="36" ht="20.05" customHeight="1">
      <c r="A36" t="s" s="43">
        <v>311</v>
      </c>
      <c r="B36" s="49"/>
      <c r="C36" t="s" s="45">
        <v>73</v>
      </c>
      <c r="D36" s="13">
        <v>7</v>
      </c>
      <c r="E36" t="s" s="15">
        <v>232</v>
      </c>
      <c r="F36" t="s" s="15">
        <v>275</v>
      </c>
      <c r="G36" t="s" s="15">
        <v>253</v>
      </c>
      <c r="H36" s="12">
        <v>3</v>
      </c>
      <c r="I36" t="s" s="15">
        <v>235</v>
      </c>
      <c r="J36" s="12">
        <v>103</v>
      </c>
      <c r="K36" t="s" s="14">
        <v>242</v>
      </c>
      <c r="L36" t="s" s="15">
        <v>265</v>
      </c>
      <c r="M36" t="s" s="15">
        <v>27</v>
      </c>
      <c r="N36" s="46">
        <f>ROUND((SUM(AA36,T36:Y36,AC36:AE36,Z36*10)-AB36*15)*(IF(K36="Heavy",0.15,IF(K36="Medium",0,IF(K36="Light",-0.15,10)))+1),0)</f>
        <v>717</v>
      </c>
      <c r="O36" s="46">
        <v>1762</v>
      </c>
      <c r="P36" s="46">
        <f>ROUNDDOWN((BI36+AU36+AG36)/5,0)+(BJ36+AV36+AH36)+(BN36+AZ36+AL36)+(BO36+BA36+AM36)+(BK36+AW36+AI36)+(BS36+BE36+AQ36)+(BL36+AX36+AJ36)+(BQ36+BC36+AO36)+(2*((BT36+BF36+AR36)+(BU36+BG36+AS36)))+(CK36+CM36+CO36+CQ36+CS36+CU36)+(CL36*BY36)+(CN36*CA36)+(CP36+CC36)+(CR36+CE36)+(CT36+CG36)+(CV36+CI36)+BV36</f>
        <v>2094</v>
      </c>
      <c r="Q36" s="46">
        <f>ROUNDDOWN(((S36/5)+T36+X36+Y36+U36+AC36+V36+AA36+(2*(AD36+AE36))+CK36+CM36+CO36+CQ36+CS36+CU36+(CL36*BX36)+(CN36*BZ36)+(CP36*CB36)+(CR36*CD36)+(CT36*CF36)+(CV36*CH36))*CX36,0)</f>
        <v>1763</v>
      </c>
      <c r="R36" s="46">
        <f>ROUNDDOWN(AVERAGE(P36:Q36),0)</f>
        <v>1928</v>
      </c>
      <c r="S36" s="12">
        <f>AG36+AU36+BI36</f>
        <v>3883</v>
      </c>
      <c r="T36" s="12">
        <f>AH36+AV36+BJ36</f>
        <v>233</v>
      </c>
      <c r="U36" s="12">
        <f>AI36+AW36+BK36</f>
        <v>230</v>
      </c>
      <c r="V36" s="12">
        <f>AJ36+AX36+BL36</f>
        <v>0</v>
      </c>
      <c r="W36" s="12">
        <f>AK36+AY36+BM36</f>
        <v>76</v>
      </c>
      <c r="X36" s="12">
        <f>AL36+AZ36+BN36</f>
        <v>6</v>
      </c>
      <c r="Y36" s="12">
        <f>AM36+BA36+BO36</f>
        <v>0</v>
      </c>
      <c r="Z36" s="12">
        <f>AN36+BB36+BP36</f>
        <v>0</v>
      </c>
      <c r="AA36" s="12">
        <f>AO36+BC36+BQ36</f>
        <v>26</v>
      </c>
      <c r="AB36" s="12">
        <f>AP36+BD36+BR36</f>
        <v>12</v>
      </c>
      <c r="AC36" s="12">
        <f>AQ36+BE36+BS36</f>
        <v>160</v>
      </c>
      <c r="AD36" s="12">
        <f>AR36+BF36+BT36</f>
        <v>50</v>
      </c>
      <c r="AE36" s="12">
        <f>AS36+BG36+BU36</f>
        <v>116</v>
      </c>
      <c r="AF36" s="28"/>
      <c r="AG36" s="12">
        <v>0</v>
      </c>
      <c r="AH36" s="12">
        <v>0</v>
      </c>
      <c r="AI36" s="12">
        <v>0</v>
      </c>
      <c r="AJ36" s="12">
        <v>0</v>
      </c>
      <c r="AK36" s="12">
        <v>0</v>
      </c>
      <c r="AL36" s="12">
        <v>0</v>
      </c>
      <c r="AM36" s="12">
        <v>0</v>
      </c>
      <c r="AN36" s="12">
        <v>0</v>
      </c>
      <c r="AO36" s="12">
        <v>0</v>
      </c>
      <c r="AP36" s="12">
        <v>0</v>
      </c>
      <c r="AQ36" s="12">
        <v>0</v>
      </c>
      <c r="AR36" s="12">
        <v>0</v>
      </c>
      <c r="AS36" s="12">
        <v>0</v>
      </c>
      <c r="AT36" s="28"/>
      <c r="AU36" s="12">
        <f>IF($H36=3,IF(OR($F36="DDV",$F36="DDG",$F36="DD"),'Fleet Tech - Tech'!B$3,IF($F36="CL",'Fleet Tech - Tech'!B$4,IF($F36="CA",'Fleet Tech - Tech'!B$5,IF($F36="BC",'Fleet Tech - Tech'!B$6,IF($F36="BB",'Fleet Tech - Tech'!B$7,IF($F36="CVL",'Fleet Tech - Tech'!B$8,IF($F36="CV",'Fleet Tech - Tech'!B$9,IF($F36="SS",'Fleet Tech - Tech'!B$10,IF($F36="BBV",'Fleet Tech - Tech'!B$11,IF($F36="CB",'Fleet Tech - Tech'!B$15,IF($F36="AE",'Fleet Tech - Tech'!B$16,IF($F36="IX",'Fleet Tech - Tech'!B$17,IF($F36="BM",'Fleet Tech - Tech'!B$13,IF($F36="AR",'Fleet Tech - Tech'!B$12,IF($F36="SSV",'Fleet Tech - Tech'!B$14,"nil"))))))))))))))),0)</f>
        <v>57</v>
      </c>
      <c r="AV36" s="12">
        <f>IF($H36=3,IF(OR($F36="DDV",$F36="DDG",$F36="DD"),'Fleet Tech - Tech'!C$3,IF($F36="CL",'Fleet Tech - Tech'!C$4,IF($F36="CA",'Fleet Tech - Tech'!C$5,IF($F36="BC",'Fleet Tech - Tech'!C$6,IF($F36="BB",'Fleet Tech - Tech'!C$7,IF($F36="CVL",'Fleet Tech - Tech'!C$8,IF($F36="CV",'Fleet Tech - Tech'!C$9,IF($F36="SS",'Fleet Tech - Tech'!C$10,IF($F36="BBV",'Fleet Tech - Tech'!C$11,IF($F36="CB",'Fleet Tech - Tech'!C$15,IF($F36="AE",'Fleet Tech - Tech'!C$16,IF($F36="IX",'Fleet Tech - Tech'!C$17,IF($F36="BM",'Fleet Tech - Tech'!C$13,IF($F36="AR",'Fleet Tech - Tech'!C$12,IF($F36="SSV",'Fleet Tech - Tech'!C$14,"nil"))))))))))))))),0)</f>
        <v>3</v>
      </c>
      <c r="AW36" s="12">
        <f>IF($H36=3,IF(OR($F36="DDV",$F36="DDG",$F36="DD"),'Fleet Tech - Tech'!D$3,IF($F36="CL",'Fleet Tech - Tech'!D$4,IF($F36="CA",'Fleet Tech - Tech'!D$5,IF($F36="BC",'Fleet Tech - Tech'!D$6,IF($F36="BB",'Fleet Tech - Tech'!D$7,IF($F36="CVL",'Fleet Tech - Tech'!D$8,IF($F36="CV",'Fleet Tech - Tech'!D$9,IF($F36="SS",'Fleet Tech - Tech'!D$10,IF($F36="BBV",'Fleet Tech - Tech'!D$11,IF($F36="CB",'Fleet Tech - Tech'!D$15,IF($F36="AE",'Fleet Tech - Tech'!D$16,IF($F36="IX",'Fleet Tech - Tech'!D$17,IF($F36="BM",'Fleet Tech - Tech'!D$13,IF($F36="AR",'Fleet Tech - Tech'!D$12,IF($F36="SSV",'Fleet Tech - Tech'!D$14,"nil"))))))))))))))),0)</f>
        <v>0</v>
      </c>
      <c r="AX36" s="12">
        <f>IF($H36=3,IF(OR($F36="DDV",$F36="DDG",$F36="DD"),'Fleet Tech - Tech'!E$3,IF($F36="CL",'Fleet Tech - Tech'!E$4,IF($F36="CA",'Fleet Tech - Tech'!E$5,IF($F36="BC",'Fleet Tech - Tech'!E$6,IF($F36="BB",'Fleet Tech - Tech'!E$7,IF($F36="CVL",'Fleet Tech - Tech'!E$8,IF($F36="CV",'Fleet Tech - Tech'!E$9,IF($F36="SS",'Fleet Tech - Tech'!E$10,IF($F36="BBV",'Fleet Tech - Tech'!E$11,IF($F36="CB",'Fleet Tech - Tech'!E$15,IF($F36="AE",'Fleet Tech - Tech'!E$16,IF($F36="IX",'Fleet Tech - Tech'!E$17,IF($F36="BM",'Fleet Tech - Tech'!E$13,IF($F36="AR",'Fleet Tech - Tech'!E$12,IF($F36="SSV",'Fleet Tech - Tech'!E$14,"nil"))))))))))))))),0)</f>
        <v>0</v>
      </c>
      <c r="AY36" s="12">
        <f>IF($H36=3,IF(OR($F36="DDV",$F36="DDG",$F36="DD"),'Fleet Tech - Tech'!F$3,IF($F36="CL",'Fleet Tech - Tech'!F$4,IF($F36="CA",'Fleet Tech - Tech'!F$5,IF($F36="BC",'Fleet Tech - Tech'!F$6,IF($F36="BB",'Fleet Tech - Tech'!F$7,IF($F36="CVL",'Fleet Tech - Tech'!F$8,IF($F36="CV",'Fleet Tech - Tech'!F$9,IF($F36="SS",'Fleet Tech - Tech'!F$10,IF($F36="BBV",'Fleet Tech - Tech'!F$11,IF($F36="CB",'Fleet Tech - Tech'!F$15,IF($F36="AE",'Fleet Tech - Tech'!F$16,IF($F36="IX",'Fleet Tech - Tech'!F$17,IF($F36="BM",'Fleet Tech - Tech'!F$13,IF($F36="AR",'Fleet Tech - Tech'!F$12,IF($F36="SSV",'Fleet Tech - Tech'!F$14,"nil"))))))))))))))),0)</f>
        <v>0</v>
      </c>
      <c r="AZ36" s="12">
        <f>IF($H36=3,IF(OR($F36="DDV",$F36="DDG",$F36="DD"),'Fleet Tech - Tech'!G$3,IF($F36="CL",'Fleet Tech - Tech'!G$4,IF($F36="CA",'Fleet Tech - Tech'!G$5,IF($F36="BC",'Fleet Tech - Tech'!G$6,IF($F36="BB",'Fleet Tech - Tech'!G$7,IF($F36="CVL",'Fleet Tech - Tech'!G$8,IF($F36="CV",'Fleet Tech - Tech'!G$9,IF($F36="SS",'Fleet Tech - Tech'!G$10,IF($F36="BBV",'Fleet Tech - Tech'!G$11,IF($F36="CB",'Fleet Tech - Tech'!G$15,IF($F36="AE",'Fleet Tech - Tech'!G$16,IF($F36="IX",'Fleet Tech - Tech'!G$17,IF($F36="BM",'Fleet Tech - Tech'!G$13,IF($F36="AR",'Fleet Tech - Tech'!G$12,IF($F36="SSV",'Fleet Tech - Tech'!G$14,"nil"))))))))))))))),0)</f>
        <v>6</v>
      </c>
      <c r="BA36" s="12">
        <f>IF($H36=3,IF(OR($F36="DDV",$F36="DDG",$F36="DD"),'Fleet Tech - Tech'!H$3,IF($F36="CL",'Fleet Tech - Tech'!H$4,IF($F36="CA",'Fleet Tech - Tech'!H$5,IF($F36="BC",'Fleet Tech - Tech'!H$6,IF($F36="BB",'Fleet Tech - Tech'!H$7,IF($F36="CVL",'Fleet Tech - Tech'!H$8,IF($F36="CV",'Fleet Tech - Tech'!H$9,IF($F36="SS",'Fleet Tech - Tech'!H$10,IF($F36="BBV",'Fleet Tech - Tech'!H$11,IF($F36="CB",'Fleet Tech - Tech'!H$15,IF($F36="AE",'Fleet Tech - Tech'!H$16,IF($F36="IX",'Fleet Tech - Tech'!H$17,IF($F36="BM",'Fleet Tech - Tech'!H$13,IF($F36="AR",'Fleet Tech - Tech'!H$12,IF($F36="SSV",'Fleet Tech - Tech'!H$14,"nil"))))))))))))))),0)</f>
        <v>0</v>
      </c>
      <c r="BB36" s="12">
        <f>IF($H36=3,IF(OR($F36="DDV",$F36="DDG",$F36="DD"),'Fleet Tech - Tech'!I$3,IF($F36="CL",'Fleet Tech - Tech'!I$4,IF($F36="CA",'Fleet Tech - Tech'!I$5,IF($F36="BC",'Fleet Tech - Tech'!I$6,IF($F36="BB",'Fleet Tech - Tech'!I$7,IF($F36="CVL",'Fleet Tech - Tech'!I$8,IF($F36="CV",'Fleet Tech - Tech'!I$9,IF($F36="SS",'Fleet Tech - Tech'!I$10,IF($F36="BBV",'Fleet Tech - Tech'!I$11,IF($F36="CB",'Fleet Tech - Tech'!I$15,IF($F36="AE",'Fleet Tech - Tech'!I$16,IF($F36="IX",'Fleet Tech - Tech'!I$17,IF($F36="BM",'Fleet Tech - Tech'!I$13,IF($F36="AR",'Fleet Tech - Tech'!I$12,IF($F36="SSV",'Fleet Tech - Tech'!I$14,"nil"))))))))))))))),0)</f>
        <v>0</v>
      </c>
      <c r="BC36" s="12">
        <f>IF($H36=3,IF(OR($F36="DDV",$F36="DDG",$F36="DD"),'Fleet Tech - Tech'!J$3,IF($F36="CL",'Fleet Tech - Tech'!J$4,IF($F36="CA",'Fleet Tech - Tech'!J$5,IF($F36="BC",'Fleet Tech - Tech'!J$6,IF($F36="BB",'Fleet Tech - Tech'!J$7,IF($F36="CVL",'Fleet Tech - Tech'!J$8,IF($F36="CV",'Fleet Tech - Tech'!J$9,IF($F36="SS",'Fleet Tech - Tech'!J$10,IF($F36="BBV",'Fleet Tech - Tech'!J$11,IF($F36="CB",'Fleet Tech - Tech'!J$15,IF($F36="AE",'Fleet Tech - Tech'!J$16,IF($F36="IX",'Fleet Tech - Tech'!J$17,IF($F36="BM",'Fleet Tech - Tech'!J$13,IF($F36="AR",'Fleet Tech - Tech'!J$12,IF($F36="SSV",'Fleet Tech - Tech'!J$14,"nil"))))))))))))))),0)</f>
        <v>0</v>
      </c>
      <c r="BD36" s="12">
        <f>IF($H36=3,IF(OR($F36="DDV",$F36="DDG",$F36="DD"),'Fleet Tech - Tech'!K$3,IF($F36="CL",'Fleet Tech - Tech'!K$4,IF($F36="CA",'Fleet Tech - Tech'!K$5,IF($F36="BC",'Fleet Tech - Tech'!K$6,IF($F36="BB",'Fleet Tech - Tech'!K$7,IF($F36="CVL",'Fleet Tech - Tech'!K$8,IF($F36="CV",'Fleet Tech - Tech'!K$9,IF($F36="SS",'Fleet Tech - Tech'!K$10,IF($F36="BBV",'Fleet Tech - Tech'!K$11,IF($F36="CB",'Fleet Tech - Tech'!K$15,IF($F36="AE",'Fleet Tech - Tech'!K$16,IF($F36="IX",'Fleet Tech - Tech'!K$17,IF($F36="BM",'Fleet Tech - Tech'!K$13,IF($F36="AR",'Fleet Tech - Tech'!K$12,IF($F36="SSV",'Fleet Tech - Tech'!K$14,"nil"))))))))))))))),0)</f>
        <v>0</v>
      </c>
      <c r="BE36" s="12">
        <f>IF($H36=3,IF(OR($F36="DDV",$F36="DDG",$F36="DD"),'Fleet Tech - Tech'!L$3,IF($F36="CL",'Fleet Tech - Tech'!L$4,IF($F36="CA",'Fleet Tech - Tech'!L$5,IF($F36="BC",'Fleet Tech - Tech'!L$6,IF($F36="BB",'Fleet Tech - Tech'!L$7,IF($F36="CVL",'Fleet Tech - Tech'!L$8,IF($F36="CV",'Fleet Tech - Tech'!L$9,IF($F36="SS",'Fleet Tech - Tech'!L$10,IF($F36="BBV",'Fleet Tech - Tech'!L$11,IF($F36="CB",'Fleet Tech - Tech'!L$15,IF($F36="AE",'Fleet Tech - Tech'!L$16,IF($F36="IX",'Fleet Tech - Tech'!L$17,IF($F36="BM",'Fleet Tech - Tech'!L$13,IF($F36="AR",'Fleet Tech - Tech'!L$12,IF($F36="SSV",'Fleet Tech - Tech'!L$14,"nil"))))))))))))))),0)</f>
        <v>1</v>
      </c>
      <c r="BF36" s="12">
        <f>IF($H36=3,IF(OR($F36="DDV",$F36="DDG",$F36="DD"),'Fleet Tech - Tech'!M$3,IF($F36="CL",'Fleet Tech - Tech'!M$4,IF($F36="CA",'Fleet Tech - Tech'!M$5,IF($F36="BC",'Fleet Tech - Tech'!M$6,IF($F36="BB",'Fleet Tech - Tech'!M$7,IF($F36="CVL",'Fleet Tech - Tech'!M$8,IF($F36="CV",'Fleet Tech - Tech'!M$9,IF($F36="SS",'Fleet Tech - Tech'!M$10,IF($F36="BBV",'Fleet Tech - Tech'!M$11,IF($F36="CB",'Fleet Tech - Tech'!M$15,IF($F36="AE",'Fleet Tech - Tech'!M$16,IF($F36="IX",'Fleet Tech - Tech'!M$17,IF($F36="BM",'Fleet Tech - Tech'!M$13,IF($F36="AR",'Fleet Tech - Tech'!M$12,IF($F36="SSV",'Fleet Tech - Tech'!M$14,"nil"))))))))))))))),0)</f>
        <v>0</v>
      </c>
      <c r="BG36" s="12">
        <f>IF($H36=3,IF(OR($F36="DDV",$F36="DDG",$F36="DD"),'Fleet Tech - Tech'!N$3,IF($F36="CL",'Fleet Tech - Tech'!N$4,IF($F36="CA",'Fleet Tech - Tech'!N$5,IF($F36="BC",'Fleet Tech - Tech'!N$6,IF($F36="BB",'Fleet Tech - Tech'!N$7,IF($F36="CVL",'Fleet Tech - Tech'!N$8,IF($F36="CV",'Fleet Tech - Tech'!N$9,IF($F36="SS",'Fleet Tech - Tech'!N$10,IF($F36="BBV",'Fleet Tech - Tech'!N$11,IF($F36="CB",'Fleet Tech - Tech'!N$15,IF($F36="AE",'Fleet Tech - Tech'!N$16,IF($F36="IX",'Fleet Tech - Tech'!N$17,IF($F36="BM",'Fleet Tech - Tech'!N$13,IF($F36="AR",'Fleet Tech - Tech'!N$12,IF($F36="SSV",'Fleet Tech - Tech'!N$14,"nil"))))))))))))))),0)</f>
        <v>0</v>
      </c>
      <c r="BH36" s="28"/>
      <c r="BI36" s="12">
        <v>3826</v>
      </c>
      <c r="BJ36" s="12">
        <v>230</v>
      </c>
      <c r="BK36" s="12">
        <v>230</v>
      </c>
      <c r="BL36" s="12">
        <v>0</v>
      </c>
      <c r="BM36" s="12">
        <v>76</v>
      </c>
      <c r="BN36" s="12">
        <v>0</v>
      </c>
      <c r="BO36" s="12">
        <v>0</v>
      </c>
      <c r="BP36" s="12">
        <v>0</v>
      </c>
      <c r="BQ36" s="12">
        <v>26</v>
      </c>
      <c r="BR36" s="12">
        <v>12</v>
      </c>
      <c r="BS36" s="12">
        <v>159</v>
      </c>
      <c r="BT36" s="12">
        <v>50</v>
      </c>
      <c r="BU36" s="12">
        <v>116</v>
      </c>
      <c r="BV36" s="12">
        <v>335</v>
      </c>
      <c r="BW36" s="28"/>
      <c r="BX36" s="12">
        <v>-1</v>
      </c>
      <c r="BY36" s="12">
        <v>-1</v>
      </c>
      <c r="BZ36" s="12">
        <v>-1</v>
      </c>
      <c r="CA36" s="12">
        <v>-1</v>
      </c>
      <c r="CB36" s="12">
        <v>-1</v>
      </c>
      <c r="CC36" s="12">
        <v>-1</v>
      </c>
      <c r="CD36" s="12">
        <v>-1</v>
      </c>
      <c r="CE36" s="12">
        <v>-1</v>
      </c>
      <c r="CF36" s="12">
        <v>-1</v>
      </c>
      <c r="CG36" s="12">
        <v>-1</v>
      </c>
      <c r="CH36" s="12">
        <v>-1</v>
      </c>
      <c r="CI36" s="12">
        <v>-1</v>
      </c>
      <c r="CJ36" s="47"/>
      <c r="CK36" s="48">
        <f>IF(BX36=5,320,IF(BX36=4,195,IF(BX36=3,132,IF(BX36=2,90,IF(BX36=1,58,IF(BX36=-1,0,35))))))</f>
        <v>0</v>
      </c>
      <c r="CL36" s="48">
        <f>IF(BX36=5,20,IF(BX36=4,15,IF(BX36=3,12,IF(BX36=2,10,IF(BX36=1,8,IF(BX36=-1,0,5))))))</f>
        <v>0</v>
      </c>
      <c r="CM36" s="48">
        <f>IF(BZ36=5,320,IF(BZ36=4,195,IF(BZ36=3,132,IF(BZ36=2,90,IF(BZ36=1,58,IF(BZ36=-1,0,35))))))</f>
        <v>0</v>
      </c>
      <c r="CN36" s="48">
        <f>IF(BZ36=5,20,IF(BZ36=4,15,IF(BZ36=3,12,IF(BZ36=2,10,IF(BZ36=1,8,IF(BZ36=-1,0,5))))))</f>
        <v>0</v>
      </c>
      <c r="CO36" s="48">
        <f>IF(CB36=5,320,IF(CB36=4,195,IF(CB36=3,132,IF(CB36=2,90,IF(CB36=1,58,IF(CB36=-1,0,35))))))</f>
        <v>0</v>
      </c>
      <c r="CP36" s="48">
        <f>IF(CB36=5,20,IF(CB36=4,15,IF(CB36=3,12,IF(CB36=2,10,IF(CB36=1,8,IF(CB36=-1,0,5))))))</f>
        <v>0</v>
      </c>
      <c r="CQ36" s="48">
        <f>IF(CD36=5,320,IF(CD36=4,195,IF(CD36=3,132,IF(CD36=2,90,IF(CD36=1,58,IF(CD36=-1,0,35))))))</f>
        <v>0</v>
      </c>
      <c r="CR36" s="48">
        <f>IF(CD36=5,20,IF(CD36=4,15,IF(CD36=3,12,IF(CD36=2,10,IF(CD36=1,8,IF(CD36=-1,0,5))))))</f>
        <v>0</v>
      </c>
      <c r="CS36" s="48">
        <f>IF(CF36=5,320,IF(CF36=4,195,IF(CF36=3,132,IF(CF36=2,90,IF(CF36=1,58,IF(CF36=-1,0,35))))))</f>
        <v>0</v>
      </c>
      <c r="CT36" s="48">
        <f>IF(CF36=5,20,IF(CF36=4,15,IF(CF36=3,12,IF(CF36=2,10,IF(CF36=1,8,IF(CF36=-1,0,5))))))</f>
        <v>0</v>
      </c>
      <c r="CU36" s="48">
        <f>IF(CH36=5,320,IF(CH36=4,195,IF(CH36=3,132,IF(CH36=2,90,IF(CH36=1,58,IF(CH36=-1,0,35))))))</f>
        <v>0</v>
      </c>
      <c r="CV36" s="48">
        <f>IF(CH36=5,20,IF(CH36=4,15,IF(CH36=3,12,IF(CH36=2,10,IF(CH36=1,8,IF(CH36=-1,0,5))))))</f>
        <v>0</v>
      </c>
      <c r="CW36" s="48">
        <f>IF(BY36&gt;10,(BY36/10)-ROUNDDOWN(BY36/10,0),0)+IF(CA36&gt;10,(CA36/10)-ROUNDDOWN(CA36/10,0),0)+IF(CC36&gt;10,(CC36/10)-ROUNDDOWN(CC36/10,0),0)+IF(CE36&gt;10,(CE36/10)-ROUNDDOWN(CE36/10,0),0)+IF(CG36&gt;10,(CG36/10)-ROUNDDOWN(CG36/10,0),0)+IF(CI36&gt;10,(CI36/10)-ROUNDDOWN(CI36/10,0),0)</f>
        <v>0</v>
      </c>
      <c r="CX36" s="48">
        <f>1+(CW36/10)</f>
        <v>1</v>
      </c>
    </row>
    <row r="37" ht="20.05" customHeight="1">
      <c r="A37" t="s" s="43">
        <v>312</v>
      </c>
      <c r="B37" s="49"/>
      <c r="C37" t="s" s="45">
        <v>73</v>
      </c>
      <c r="D37" s="13">
        <v>7</v>
      </c>
      <c r="E37" t="s" s="15">
        <v>240</v>
      </c>
      <c r="F37" t="s" s="15">
        <v>313</v>
      </c>
      <c r="G37" t="s" s="15">
        <v>314</v>
      </c>
      <c r="H37" s="12">
        <v>3</v>
      </c>
      <c r="I37" t="s" s="15">
        <v>277</v>
      </c>
      <c r="J37" s="12">
        <v>100</v>
      </c>
      <c r="K37" t="s" s="14">
        <v>236</v>
      </c>
      <c r="L37" t="s" s="15">
        <v>265</v>
      </c>
      <c r="M37" t="s" s="15">
        <v>22</v>
      </c>
      <c r="N37" s="46">
        <f>ROUND((SUM(AA37,T37:Y37,AC37:AE37,Z37*10)-AB37*15)*(IF(K37="Heavy",0.15,IF(K37="Medium",0,IF(K37="Light",-0.15,10)))+1),0)</f>
        <v>485</v>
      </c>
      <c r="O37" s="46">
        <v>1599</v>
      </c>
      <c r="P37" s="46">
        <f>ROUNDDOWN((BI37+AU37+AG37)/5,0)+(BJ37+AV37+AH37)+(BN37+AZ37+AL37)+(BO37+BA37+AM37)+(BK37+AW37+AI37)+(BS37+BE37+AQ37)+(BL37+AX37+AJ37)+(BQ37+BC37+AO37)+(2*((BT37+BF37+AR37)+(BU37+BG37+AS37)))+(CK37+CM37+CO37+CQ37+CS37+CU37)+(CL37*BY37)+(CN37*CA37)+(CP37+CC37)+(CR37+CE37)+(CT37+CG37)+(CV37+CI37)+BV37</f>
        <v>1931</v>
      </c>
      <c r="Q37" s="46">
        <f>ROUNDDOWN(((S37/5)+T37+X37+Y37+U37+AC37+V37+AA37+(2*(AD37+AE37))+CK37+CM37+CO37+CQ37+CS37+CU37+(CL37*BX37)+(CN37*BZ37)+(CP37*CB37)+(CR37*CD37)+(CT37*CF37)+(CV37*CH37))*CX37,0)</f>
        <v>1552</v>
      </c>
      <c r="R37" s="46">
        <f>ROUNDDOWN(AVERAGE(P37:Q37),0)</f>
        <v>1741</v>
      </c>
      <c r="S37" s="12">
        <f>AG37+AU37+BI37</f>
        <v>3184</v>
      </c>
      <c r="T37" s="12">
        <f>AH37+AV37+BJ37</f>
        <v>242</v>
      </c>
      <c r="U37" s="12">
        <f>AI37+AW37+BK37</f>
        <v>149</v>
      </c>
      <c r="V37" s="12">
        <f>AJ37+AX37+BL37</f>
        <v>0</v>
      </c>
      <c r="W37" s="12">
        <f>AK37+AY37+BM37</f>
        <v>91</v>
      </c>
      <c r="X37" s="12">
        <f>AL37+AZ37+BN37</f>
        <v>3</v>
      </c>
      <c r="Y37" s="12">
        <f>AM37+BA37+BO37</f>
        <v>0</v>
      </c>
      <c r="Z37" s="12">
        <f>AN37+BB37+BP37</f>
        <v>0</v>
      </c>
      <c r="AA37" s="12">
        <f>AO37+BC37+BQ37</f>
        <v>12</v>
      </c>
      <c r="AB37" s="12">
        <f>AP37+BD37+BR37</f>
        <v>10</v>
      </c>
      <c r="AC37" s="12">
        <f>AQ37+BE37+BS37</f>
        <v>104</v>
      </c>
      <c r="AD37" s="12">
        <f>AR37+BF37+BT37</f>
        <v>50</v>
      </c>
      <c r="AE37" s="12">
        <f>AS37+BG37+BU37</f>
        <v>69</v>
      </c>
      <c r="AF37" s="28"/>
      <c r="AG37" s="12">
        <v>0</v>
      </c>
      <c r="AH37" s="12">
        <v>25</v>
      </c>
      <c r="AI37" s="12">
        <v>0</v>
      </c>
      <c r="AJ37" s="12">
        <v>0</v>
      </c>
      <c r="AK37" s="12">
        <v>0</v>
      </c>
      <c r="AL37" s="12">
        <v>0</v>
      </c>
      <c r="AM37" s="12">
        <v>0</v>
      </c>
      <c r="AN37" s="12">
        <v>0</v>
      </c>
      <c r="AO37" s="12">
        <v>0</v>
      </c>
      <c r="AP37" s="12">
        <v>0</v>
      </c>
      <c r="AQ37" s="12">
        <v>0</v>
      </c>
      <c r="AR37" s="12">
        <v>0</v>
      </c>
      <c r="AS37" s="12">
        <v>0</v>
      </c>
      <c r="AT37" s="28"/>
      <c r="AU37" s="12">
        <f>IF($H37=3,IF(OR($F37="DDV",$F37="DDG",$F37="DD"),'Fleet Tech - Tech'!B$3,IF($F37="CL",'Fleet Tech - Tech'!B$4,IF($F37="CA",'Fleet Tech - Tech'!B$5,IF($F37="BC",'Fleet Tech - Tech'!B$6,IF($F37="BB",'Fleet Tech - Tech'!B$7,IF($F37="CVL",'Fleet Tech - Tech'!B$8,IF($F37="CV",'Fleet Tech - Tech'!B$9,IF($F37="SS",'Fleet Tech - Tech'!B$10,IF($F37="BBV",'Fleet Tech - Tech'!B$11,IF($F37="CB",'Fleet Tech - Tech'!B$15,IF($F37="AE",'Fleet Tech - Tech'!B$16,IF($F37="IX",'Fleet Tech - Tech'!B$17,IF($F37="BM",'Fleet Tech - Tech'!B$13,IF($F37="AR",'Fleet Tech - Tech'!B$12,IF($F37="SSV",'Fleet Tech - Tech'!B$14,"nil"))))))))))))))),0)</f>
        <v>52</v>
      </c>
      <c r="AV37" s="12">
        <f>IF($H37=3,IF(OR($F37="DDV",$F37="DDG",$F37="DD"),'Fleet Tech - Tech'!C$3,IF($F37="CL",'Fleet Tech - Tech'!C$4,IF($F37="CA",'Fleet Tech - Tech'!C$5,IF($F37="BC",'Fleet Tech - Tech'!C$6,IF($F37="BB",'Fleet Tech - Tech'!C$7,IF($F37="CVL",'Fleet Tech - Tech'!C$8,IF($F37="CV",'Fleet Tech - Tech'!C$9,IF($F37="SS",'Fleet Tech - Tech'!C$10,IF($F37="BBV",'Fleet Tech - Tech'!C$11,IF($F37="CB",'Fleet Tech - Tech'!C$15,IF($F37="AE",'Fleet Tech - Tech'!C$16,IF($F37="IX",'Fleet Tech - Tech'!C$17,IF($F37="BM",'Fleet Tech - Tech'!C$13,IF($F37="AR",'Fleet Tech - Tech'!C$12,IF($F37="SSV",'Fleet Tech - Tech'!C$14,"nil"))))))))))))))),0)</f>
        <v>4</v>
      </c>
      <c r="AW37" s="12">
        <f>IF($H37=3,IF(OR($F37="DDV",$F37="DDG",$F37="DD"),'Fleet Tech - Tech'!D$3,IF($F37="CL",'Fleet Tech - Tech'!D$4,IF($F37="CA",'Fleet Tech - Tech'!D$5,IF($F37="BC",'Fleet Tech - Tech'!D$6,IF($F37="BB",'Fleet Tech - Tech'!D$7,IF($F37="CVL",'Fleet Tech - Tech'!D$8,IF($F37="CV",'Fleet Tech - Tech'!D$9,IF($F37="SS",'Fleet Tech - Tech'!D$10,IF($F37="BBV",'Fleet Tech - Tech'!D$11,IF($F37="CB",'Fleet Tech - Tech'!D$15,IF($F37="AE",'Fleet Tech - Tech'!D$16,IF($F37="IX",'Fleet Tech - Tech'!D$17,IF($F37="BM",'Fleet Tech - Tech'!D$13,IF($F37="AR",'Fleet Tech - Tech'!D$12,IF($F37="SSV",'Fleet Tech - Tech'!D$14,"nil"))))))))))))))),0)</f>
        <v>0</v>
      </c>
      <c r="AX37" s="12">
        <f>IF($H37=3,IF(OR($F37="DDV",$F37="DDG",$F37="DD"),'Fleet Tech - Tech'!E$3,IF($F37="CL",'Fleet Tech - Tech'!E$4,IF($F37="CA",'Fleet Tech - Tech'!E$5,IF($F37="BC",'Fleet Tech - Tech'!E$6,IF($F37="BB",'Fleet Tech - Tech'!E$7,IF($F37="CVL",'Fleet Tech - Tech'!E$8,IF($F37="CV",'Fleet Tech - Tech'!E$9,IF($F37="SS",'Fleet Tech - Tech'!E$10,IF($F37="BBV",'Fleet Tech - Tech'!E$11,IF($F37="CB",'Fleet Tech - Tech'!E$15,IF($F37="AE",'Fleet Tech - Tech'!E$16,IF($F37="IX",'Fleet Tech - Tech'!E$17,IF($F37="BM",'Fleet Tech - Tech'!E$13,IF($F37="AR",'Fleet Tech - Tech'!E$12,IF($F37="SSV",'Fleet Tech - Tech'!E$14,"nil"))))))))))))))),0)</f>
        <v>0</v>
      </c>
      <c r="AY37" s="12">
        <f>IF($H37=3,IF(OR($F37="DDV",$F37="DDG",$F37="DD"),'Fleet Tech - Tech'!F$3,IF($F37="CL",'Fleet Tech - Tech'!F$4,IF($F37="CA",'Fleet Tech - Tech'!F$5,IF($F37="BC",'Fleet Tech - Tech'!F$6,IF($F37="BB",'Fleet Tech - Tech'!F$7,IF($F37="CVL",'Fleet Tech - Tech'!F$8,IF($F37="CV",'Fleet Tech - Tech'!F$9,IF($F37="SS",'Fleet Tech - Tech'!F$10,IF($F37="BBV",'Fleet Tech - Tech'!F$11,IF($F37="CB",'Fleet Tech - Tech'!F$15,IF($F37="AE",'Fleet Tech - Tech'!F$16,IF($F37="IX",'Fleet Tech - Tech'!F$17,IF($F37="BM",'Fleet Tech - Tech'!F$13,IF($F37="AR",'Fleet Tech - Tech'!F$12,IF($F37="SSV",'Fleet Tech - Tech'!F$14,"nil"))))))))))))))),0)</f>
        <v>0</v>
      </c>
      <c r="AZ37" s="12">
        <f>IF($H37=3,IF(OR($F37="DDV",$F37="DDG",$F37="DD"),'Fleet Tech - Tech'!G$3,IF($F37="CL",'Fleet Tech - Tech'!G$4,IF($F37="CA",'Fleet Tech - Tech'!G$5,IF($F37="BC",'Fleet Tech - Tech'!G$6,IF($F37="BB",'Fleet Tech - Tech'!G$7,IF($F37="CVL",'Fleet Tech - Tech'!G$8,IF($F37="CV",'Fleet Tech - Tech'!G$9,IF($F37="SS",'Fleet Tech - Tech'!G$10,IF($F37="BBV",'Fleet Tech - Tech'!G$11,IF($F37="CB",'Fleet Tech - Tech'!G$15,IF($F37="AE",'Fleet Tech - Tech'!G$16,IF($F37="IX",'Fleet Tech - Tech'!G$17,IF($F37="BM",'Fleet Tech - Tech'!G$13,IF($F37="AR",'Fleet Tech - Tech'!G$12,IF($F37="SSV",'Fleet Tech - Tech'!G$14,"nil"))))))))))))))),0)</f>
        <v>3</v>
      </c>
      <c r="BA37" s="12">
        <f>IF($H37=3,IF(OR($F37="DDV",$F37="DDG",$F37="DD"),'Fleet Tech - Tech'!H$3,IF($F37="CL",'Fleet Tech - Tech'!H$4,IF($F37="CA",'Fleet Tech - Tech'!H$5,IF($F37="BC",'Fleet Tech - Tech'!H$6,IF($F37="BB",'Fleet Tech - Tech'!H$7,IF($F37="CVL",'Fleet Tech - Tech'!H$8,IF($F37="CV",'Fleet Tech - Tech'!H$9,IF($F37="SS",'Fleet Tech - Tech'!H$10,IF($F37="BBV",'Fleet Tech - Tech'!H$11,IF($F37="CB",'Fleet Tech - Tech'!H$15,IF($F37="AE",'Fleet Tech - Tech'!H$16,IF($F37="IX",'Fleet Tech - Tech'!H$17,IF($F37="BM",'Fleet Tech - Tech'!H$13,IF($F37="AR",'Fleet Tech - Tech'!H$12,IF($F37="SSV",'Fleet Tech - Tech'!H$14,"nil"))))))))))))))),0)</f>
        <v>0</v>
      </c>
      <c r="BB37" s="12">
        <f>IF($H37=3,IF(OR($F37="DDV",$F37="DDG",$F37="DD"),'Fleet Tech - Tech'!I$3,IF($F37="CL",'Fleet Tech - Tech'!I$4,IF($F37="CA",'Fleet Tech - Tech'!I$5,IF($F37="BC",'Fleet Tech - Tech'!I$6,IF($F37="BB",'Fleet Tech - Tech'!I$7,IF($F37="CVL",'Fleet Tech - Tech'!I$8,IF($F37="CV",'Fleet Tech - Tech'!I$9,IF($F37="SS",'Fleet Tech - Tech'!I$10,IF($F37="BBV",'Fleet Tech - Tech'!I$11,IF($F37="CB",'Fleet Tech - Tech'!I$15,IF($F37="AE",'Fleet Tech - Tech'!I$16,IF($F37="IX",'Fleet Tech - Tech'!I$17,IF($F37="BM",'Fleet Tech - Tech'!I$13,IF($F37="AR",'Fleet Tech - Tech'!I$12,IF($F37="SSV",'Fleet Tech - Tech'!I$14,"nil"))))))))))))))),0)</f>
        <v>0</v>
      </c>
      <c r="BC37" s="12">
        <f>IF($H37=3,IF(OR($F37="DDV",$F37="DDG",$F37="DD"),'Fleet Tech - Tech'!J$3,IF($F37="CL",'Fleet Tech - Tech'!J$4,IF($F37="CA",'Fleet Tech - Tech'!J$5,IF($F37="BC",'Fleet Tech - Tech'!J$6,IF($F37="BB",'Fleet Tech - Tech'!J$7,IF($F37="CVL",'Fleet Tech - Tech'!J$8,IF($F37="CV",'Fleet Tech - Tech'!J$9,IF($F37="SS",'Fleet Tech - Tech'!J$10,IF($F37="BBV",'Fleet Tech - Tech'!J$11,IF($F37="CB",'Fleet Tech - Tech'!J$15,IF($F37="AE",'Fleet Tech - Tech'!J$16,IF($F37="IX",'Fleet Tech - Tech'!J$17,IF($F37="BM",'Fleet Tech - Tech'!J$13,IF($F37="AR",'Fleet Tech - Tech'!J$12,IF($F37="SSV",'Fleet Tech - Tech'!J$14,"nil"))))))))))))))),0)</f>
        <v>0</v>
      </c>
      <c r="BD37" s="12">
        <f>IF($H37=3,IF(OR($F37="DDV",$F37="DDG",$F37="DD"),'Fleet Tech - Tech'!K$3,IF($F37="CL",'Fleet Tech - Tech'!K$4,IF($F37="CA",'Fleet Tech - Tech'!K$5,IF($F37="BC",'Fleet Tech - Tech'!K$6,IF($F37="BB",'Fleet Tech - Tech'!K$7,IF($F37="CVL",'Fleet Tech - Tech'!K$8,IF($F37="CV",'Fleet Tech - Tech'!K$9,IF($F37="SS",'Fleet Tech - Tech'!K$10,IF($F37="BBV",'Fleet Tech - Tech'!K$11,IF($F37="CB",'Fleet Tech - Tech'!K$15,IF($F37="AE",'Fleet Tech - Tech'!K$16,IF($F37="IX",'Fleet Tech - Tech'!K$17,IF($F37="BM",'Fleet Tech - Tech'!K$13,IF($F37="AR",'Fleet Tech - Tech'!K$12,IF($F37="SSV",'Fleet Tech - Tech'!K$14,"nil"))))))))))))))),0)</f>
        <v>0</v>
      </c>
      <c r="BE37" s="12">
        <f>IF($H37=3,IF(OR($F37="DDV",$F37="DDG",$F37="DD"),'Fleet Tech - Tech'!L$3,IF($F37="CL",'Fleet Tech - Tech'!L$4,IF($F37="CA",'Fleet Tech - Tech'!L$5,IF($F37="BC",'Fleet Tech - Tech'!L$6,IF($F37="BB",'Fleet Tech - Tech'!L$7,IF($F37="CVL",'Fleet Tech - Tech'!L$8,IF($F37="CV",'Fleet Tech - Tech'!L$9,IF($F37="SS",'Fleet Tech - Tech'!L$10,IF($F37="BBV",'Fleet Tech - Tech'!L$11,IF($F37="CB",'Fleet Tech - Tech'!L$15,IF($F37="AE",'Fleet Tech - Tech'!L$16,IF($F37="IX",'Fleet Tech - Tech'!L$17,IF($F37="BM",'Fleet Tech - Tech'!L$13,IF($F37="AR",'Fleet Tech - Tech'!L$12,IF($F37="SSV",'Fleet Tech - Tech'!L$14,"nil"))))))))))))))),0)</f>
        <v>1</v>
      </c>
      <c r="BF37" s="12">
        <f>IF($H37=3,IF(OR($F37="DDV",$F37="DDG",$F37="DD"),'Fleet Tech - Tech'!M$3,IF($F37="CL",'Fleet Tech - Tech'!M$4,IF($F37="CA",'Fleet Tech - Tech'!M$5,IF($F37="BC",'Fleet Tech - Tech'!M$6,IF($F37="BB",'Fleet Tech - Tech'!M$7,IF($F37="CVL",'Fleet Tech - Tech'!M$8,IF($F37="CV",'Fleet Tech - Tech'!M$9,IF($F37="SS",'Fleet Tech - Tech'!M$10,IF($F37="BBV",'Fleet Tech - Tech'!M$11,IF($F37="CB",'Fleet Tech - Tech'!M$15,IF($F37="AE",'Fleet Tech - Tech'!M$16,IF($F37="IX",'Fleet Tech - Tech'!M$17,IF($F37="BM",'Fleet Tech - Tech'!M$13,IF($F37="AR",'Fleet Tech - Tech'!M$12,IF($F37="SSV",'Fleet Tech - Tech'!M$14,"nil"))))))))))))))),0)</f>
        <v>0</v>
      </c>
      <c r="BG37" s="12">
        <f>IF($H37=3,IF(OR($F37="DDV",$F37="DDG",$F37="DD"),'Fleet Tech - Tech'!N$3,IF($F37="CL",'Fleet Tech - Tech'!N$4,IF($F37="CA",'Fleet Tech - Tech'!N$5,IF($F37="BC",'Fleet Tech - Tech'!N$6,IF($F37="BB",'Fleet Tech - Tech'!N$7,IF($F37="CVL",'Fleet Tech - Tech'!N$8,IF($F37="CV",'Fleet Tech - Tech'!N$9,IF($F37="SS",'Fleet Tech - Tech'!N$10,IF($F37="BBV",'Fleet Tech - Tech'!N$11,IF($F37="CB",'Fleet Tech - Tech'!N$15,IF($F37="AE",'Fleet Tech - Tech'!N$16,IF($F37="IX",'Fleet Tech - Tech'!N$17,IF($F37="BM",'Fleet Tech - Tech'!N$13,IF($F37="AR",'Fleet Tech - Tech'!N$12,IF($F37="SSV",'Fleet Tech - Tech'!N$14,"nil"))))))))))))))),0)</f>
        <v>0</v>
      </c>
      <c r="BH37" s="28"/>
      <c r="BI37" s="12">
        <v>3132</v>
      </c>
      <c r="BJ37" s="12">
        <v>213</v>
      </c>
      <c r="BK37" s="12">
        <v>149</v>
      </c>
      <c r="BL37" s="12">
        <v>0</v>
      </c>
      <c r="BM37" s="12">
        <v>91</v>
      </c>
      <c r="BN37" s="12">
        <v>0</v>
      </c>
      <c r="BO37" s="12">
        <v>0</v>
      </c>
      <c r="BP37" s="12">
        <v>0</v>
      </c>
      <c r="BQ37" s="12">
        <v>12</v>
      </c>
      <c r="BR37" s="12">
        <v>10</v>
      </c>
      <c r="BS37" s="12">
        <v>103</v>
      </c>
      <c r="BT37" s="12">
        <v>50</v>
      </c>
      <c r="BU37" s="12">
        <v>69</v>
      </c>
      <c r="BV37" s="12">
        <v>335</v>
      </c>
      <c r="BW37" s="28"/>
      <c r="BX37" s="12">
        <v>-1</v>
      </c>
      <c r="BY37" s="12">
        <v>-1</v>
      </c>
      <c r="BZ37" s="12">
        <v>3</v>
      </c>
      <c r="CA37" s="12">
        <v>7</v>
      </c>
      <c r="CB37" s="12">
        <v>-1</v>
      </c>
      <c r="CC37" s="12">
        <v>-1</v>
      </c>
      <c r="CD37" s="12">
        <v>-1</v>
      </c>
      <c r="CE37" s="12">
        <v>-1</v>
      </c>
      <c r="CF37" s="12">
        <v>-1</v>
      </c>
      <c r="CG37" s="12">
        <v>-1</v>
      </c>
      <c r="CH37" s="12">
        <v>-1</v>
      </c>
      <c r="CI37" s="12">
        <v>-1</v>
      </c>
      <c r="CJ37" s="47"/>
      <c r="CK37" s="48">
        <f>IF(BX37=5,320,IF(BX37=4,195,IF(BX37=3,132,IF(BX37=2,90,IF(BX37=1,58,IF(BX37=-1,0,35))))))</f>
        <v>0</v>
      </c>
      <c r="CL37" s="48">
        <f>IF(BX37=5,20,IF(BX37=4,15,IF(BX37=3,12,IF(BX37=2,10,IF(BX37=1,8,IF(BX37=-1,0,5))))))</f>
        <v>0</v>
      </c>
      <c r="CM37" s="48">
        <f>IF(BZ37=5,320,IF(BZ37=4,195,IF(BZ37=3,132,IF(BZ37=2,90,IF(BZ37=1,58,IF(BZ37=-1,0,35))))))</f>
        <v>132</v>
      </c>
      <c r="CN37" s="48">
        <f>IF(BZ37=5,20,IF(BZ37=4,15,IF(BZ37=3,12,IF(BZ37=2,10,IF(BZ37=1,8,IF(BZ37=-1,0,5))))))</f>
        <v>12</v>
      </c>
      <c r="CO37" s="48">
        <f>IF(CB37=5,320,IF(CB37=4,195,IF(CB37=3,132,IF(CB37=2,90,IF(CB37=1,58,IF(CB37=-1,0,35))))))</f>
        <v>0</v>
      </c>
      <c r="CP37" s="48">
        <f>IF(CB37=5,20,IF(CB37=4,15,IF(CB37=3,12,IF(CB37=2,10,IF(CB37=1,8,IF(CB37=-1,0,5))))))</f>
        <v>0</v>
      </c>
      <c r="CQ37" s="48">
        <f>IF(CD37=5,320,IF(CD37=4,195,IF(CD37=3,132,IF(CD37=2,90,IF(CD37=1,58,IF(CD37=-1,0,35))))))</f>
        <v>0</v>
      </c>
      <c r="CR37" s="48">
        <f>IF(CD37=5,20,IF(CD37=4,15,IF(CD37=3,12,IF(CD37=2,10,IF(CD37=1,8,IF(CD37=-1,0,5))))))</f>
        <v>0</v>
      </c>
      <c r="CS37" s="48">
        <f>IF(CF37=5,320,IF(CF37=4,195,IF(CF37=3,132,IF(CF37=2,90,IF(CF37=1,58,IF(CF37=-1,0,35))))))</f>
        <v>0</v>
      </c>
      <c r="CT37" s="48">
        <f>IF(CF37=5,20,IF(CF37=4,15,IF(CF37=3,12,IF(CF37=2,10,IF(CF37=1,8,IF(CF37=-1,0,5))))))</f>
        <v>0</v>
      </c>
      <c r="CU37" s="48">
        <f>IF(CH37=5,320,IF(CH37=4,195,IF(CH37=3,132,IF(CH37=2,90,IF(CH37=1,58,IF(CH37=-1,0,35))))))</f>
        <v>0</v>
      </c>
      <c r="CV37" s="48">
        <f>IF(CH37=5,20,IF(CH37=4,15,IF(CH37=3,12,IF(CH37=2,10,IF(CH37=1,8,IF(CH37=-1,0,5))))))</f>
        <v>0</v>
      </c>
      <c r="CW37" s="48">
        <f>IF(BY37&gt;10,(BY37/10)-ROUNDDOWN(BY37/10,0),0)+IF(CA37&gt;10,(CA37/10)-ROUNDDOWN(CA37/10,0),0)+IF(CC37&gt;10,(CC37/10)-ROUNDDOWN(CC37/10,0),0)+IF(CE37&gt;10,(CE37/10)-ROUNDDOWN(CE37/10,0),0)+IF(CG37&gt;10,(CG37/10)-ROUNDDOWN(CG37/10,0),0)+IF(CI37&gt;10,(CI37/10)-ROUNDDOWN(CI37/10,0),0)</f>
        <v>0</v>
      </c>
      <c r="CX37" s="48">
        <f>1+(CW37/10)</f>
        <v>1</v>
      </c>
    </row>
    <row r="38" ht="20.05" customHeight="1">
      <c r="A38" t="s" s="43">
        <v>315</v>
      </c>
      <c r="B38" s="49"/>
      <c r="C38" t="s" s="45">
        <v>73</v>
      </c>
      <c r="D38" s="13">
        <v>7</v>
      </c>
      <c r="E38" t="s" s="15">
        <v>232</v>
      </c>
      <c r="F38" t="s" s="15">
        <v>284</v>
      </c>
      <c r="G38" t="s" s="15">
        <v>314</v>
      </c>
      <c r="H38" s="12">
        <v>3</v>
      </c>
      <c r="I38" t="s" s="15">
        <v>277</v>
      </c>
      <c r="J38" s="12">
        <v>100</v>
      </c>
      <c r="K38" t="s" s="14">
        <v>236</v>
      </c>
      <c r="L38" t="s" s="15">
        <v>265</v>
      </c>
      <c r="M38" t="s" s="15">
        <v>22</v>
      </c>
      <c r="N38" s="46">
        <f>ROUND((SUM(AA38,T38:Y38,AC38:AE38,Z38*10)-AB38*15)*(IF(K38="Heavy",0.15,IF(K38="Medium",0,IF(K38="Light",-0.15,10)))+1),0)</f>
        <v>1165</v>
      </c>
      <c r="O38" s="46">
        <v>3077</v>
      </c>
      <c r="P38" s="46">
        <f>ROUNDDOWN((BI38+AU38+AG38)/5,0)+(BJ38+AV38+AH38)+(BN38+AZ38+AL38)+(BO38+BA38+AM38)+(BK38+AW38+AI38)+(BS38+BE38+AQ38)+(BL38+AX38+AJ38)+(BQ38+BC38+AO38)+(2*((BT38+BF38+AR38)+(BU38+BG38+AS38)))+(CK38+CM38+CO38+CQ38+CS38+CU38)+(CL38*BY38)+(CN38*CA38)+(CP38+CC38)+(CR38+CE38)+(CT38+CG38)+(CV38+CI38)+BV38</f>
        <v>3048</v>
      </c>
      <c r="Q38" s="46">
        <f>ROUNDDOWN(((S38/5)+T38+X38+Y38+U38+AC38+V38+AA38+(2*(AD38+AE38))+CK38+CM38+CO38+CQ38+CS38+CU38+(CL38*BX38)+(CN38*BZ38)+(CP38*CB38)+(CR38*CD38)+(CT38*CF38)+(CV38*CH38))*CX38,0)</f>
        <v>2974</v>
      </c>
      <c r="R38" s="46">
        <f>ROUNDDOWN(AVERAGE(P38:Q38),0)</f>
        <v>3011</v>
      </c>
      <c r="S38" s="12">
        <f>AG38+AU38+BI38</f>
        <v>1823</v>
      </c>
      <c r="T38" s="12">
        <f>AH38+AV38+BJ38</f>
        <v>83</v>
      </c>
      <c r="U38" s="12">
        <f>AI38+AW38+BK38</f>
        <v>231</v>
      </c>
      <c r="V38" s="12">
        <f>AJ38+AX38+BL38</f>
        <v>195</v>
      </c>
      <c r="W38" s="12">
        <f>AK38+AY38+BM38</f>
        <v>65</v>
      </c>
      <c r="X38" s="12">
        <f>AL38+AZ38+BN38</f>
        <v>327</v>
      </c>
      <c r="Y38" s="12">
        <f>AM38+BA38+BO38</f>
        <v>0</v>
      </c>
      <c r="Z38" s="12">
        <f>AN38+BB38+BP38</f>
        <v>0</v>
      </c>
      <c r="AA38" s="12">
        <f>AO38+BC38+BQ38</f>
        <v>46</v>
      </c>
      <c r="AB38" s="12">
        <f>AP38+BD38+BR38</f>
        <v>9</v>
      </c>
      <c r="AC38" s="12">
        <f>AQ38+BE38+BS38</f>
        <v>147</v>
      </c>
      <c r="AD38" s="12">
        <f>AR38+BF38+BT38</f>
        <v>231</v>
      </c>
      <c r="AE38" s="12">
        <f>AS38+BG38+BU38</f>
        <v>180</v>
      </c>
      <c r="AF38" s="28"/>
      <c r="AG38" s="12">
        <v>290</v>
      </c>
      <c r="AH38" s="12">
        <v>0</v>
      </c>
      <c r="AI38" s="12">
        <v>89</v>
      </c>
      <c r="AJ38" s="12">
        <v>0</v>
      </c>
      <c r="AK38" s="12">
        <v>0</v>
      </c>
      <c r="AL38" s="12">
        <v>25</v>
      </c>
      <c r="AM38" s="12">
        <v>0</v>
      </c>
      <c r="AN38" s="12">
        <v>0</v>
      </c>
      <c r="AO38" s="12">
        <v>0</v>
      </c>
      <c r="AP38" s="12">
        <v>0</v>
      </c>
      <c r="AQ38" s="12">
        <v>0</v>
      </c>
      <c r="AR38" s="12">
        <v>0</v>
      </c>
      <c r="AS38" s="12">
        <v>0</v>
      </c>
      <c r="AT38" s="28"/>
      <c r="AU38" s="12">
        <f>IF($H38=3,IF(OR($F38="DDV",$F38="DDG",$F38="DD"),'Fleet Tech - Tech'!B$3,IF($F38="CL",'Fleet Tech - Tech'!B$4,IF($F38="CA",'Fleet Tech - Tech'!B$5,IF($F38="BC",'Fleet Tech - Tech'!B$6,IF($F38="BB",'Fleet Tech - Tech'!B$7,IF($F38="CVL",'Fleet Tech - Tech'!B$8,IF($F38="CV",'Fleet Tech - Tech'!B$9,IF($F38="SS",'Fleet Tech - Tech'!B$10,IF($F38="BBV",'Fleet Tech - Tech'!B$11,IF($F38="CB",'Fleet Tech - Tech'!B$15,IF($F38="AE",'Fleet Tech - Tech'!B$16,IF($F38="IX",'Fleet Tech - Tech'!B$17,IF($F38="BM",'Fleet Tech - Tech'!B$13,IF($F38="AR",'Fleet Tech - Tech'!B$12,IF($F38="SSV",'Fleet Tech - Tech'!B$14,"nil"))))))))))))))),0)</f>
        <v>128</v>
      </c>
      <c r="AV38" s="12">
        <f>IF($H38=3,IF(OR($F38="DDV",$F38="DDG",$F38="DD"),'Fleet Tech - Tech'!C$3,IF($F38="CL",'Fleet Tech - Tech'!C$4,IF($F38="CA",'Fleet Tech - Tech'!C$5,IF($F38="BC",'Fleet Tech - Tech'!C$6,IF($F38="BB",'Fleet Tech - Tech'!C$7,IF($F38="CVL",'Fleet Tech - Tech'!C$8,IF($F38="CV",'Fleet Tech - Tech'!C$9,IF($F38="SS",'Fleet Tech - Tech'!C$10,IF($F38="BBV",'Fleet Tech - Tech'!C$11,IF($F38="CB",'Fleet Tech - Tech'!C$15,IF($F38="AE",'Fleet Tech - Tech'!C$16,IF($F38="IX",'Fleet Tech - Tech'!C$17,IF($F38="BM",'Fleet Tech - Tech'!C$13,IF($F38="AR",'Fleet Tech - Tech'!C$12,IF($F38="SSV",'Fleet Tech - Tech'!C$14,"nil"))))))))))))))),0)</f>
        <v>11</v>
      </c>
      <c r="AW38" s="12">
        <f>IF($H38=3,IF(OR($F38="DDV",$F38="DDG",$F38="DD"),'Fleet Tech - Tech'!D$3,IF($F38="CL",'Fleet Tech - Tech'!D$4,IF($F38="CA",'Fleet Tech - Tech'!D$5,IF($F38="BC",'Fleet Tech - Tech'!D$6,IF($F38="BB",'Fleet Tech - Tech'!D$7,IF($F38="CVL",'Fleet Tech - Tech'!D$8,IF($F38="CV",'Fleet Tech - Tech'!D$9,IF($F38="SS",'Fleet Tech - Tech'!D$10,IF($F38="BBV",'Fleet Tech - Tech'!D$11,IF($F38="CB",'Fleet Tech - Tech'!D$15,IF($F38="AE",'Fleet Tech - Tech'!D$16,IF($F38="IX",'Fleet Tech - Tech'!D$17,IF($F38="BM",'Fleet Tech - Tech'!D$13,IF($F38="AR",'Fleet Tech - Tech'!D$12,IF($F38="SSV",'Fleet Tech - Tech'!D$14,"nil"))))))))))))))),0)</f>
        <v>3</v>
      </c>
      <c r="AX38" s="12">
        <f>IF($H38=3,IF(OR($F38="DDV",$F38="DDG",$F38="DD"),'Fleet Tech - Tech'!E$3,IF($F38="CL",'Fleet Tech - Tech'!E$4,IF($F38="CA",'Fleet Tech - Tech'!E$5,IF($F38="BC",'Fleet Tech - Tech'!E$6,IF($F38="BB",'Fleet Tech - Tech'!E$7,IF($F38="CVL",'Fleet Tech - Tech'!E$8,IF($F38="CV",'Fleet Tech - Tech'!E$9,IF($F38="SS",'Fleet Tech - Tech'!E$10,IF($F38="BBV",'Fleet Tech - Tech'!E$11,IF($F38="CB",'Fleet Tech - Tech'!E$15,IF($F38="AE",'Fleet Tech - Tech'!E$16,IF($F38="IX",'Fleet Tech - Tech'!E$17,IF($F38="BM",'Fleet Tech - Tech'!E$13,IF($F38="AR",'Fleet Tech - Tech'!E$12,IF($F38="SSV",'Fleet Tech - Tech'!E$14,"nil"))))))))))))))),0)</f>
        <v>2</v>
      </c>
      <c r="AY38" s="12">
        <f>IF($H38=3,IF(OR($F38="DDV",$F38="DDG",$F38="DD"),'Fleet Tech - Tech'!F$3,IF($F38="CL",'Fleet Tech - Tech'!F$4,IF($F38="CA",'Fleet Tech - Tech'!F$5,IF($F38="BC",'Fleet Tech - Tech'!F$6,IF($F38="BB",'Fleet Tech - Tech'!F$7,IF($F38="CVL",'Fleet Tech - Tech'!F$8,IF($F38="CV",'Fleet Tech - Tech'!F$9,IF($F38="SS",'Fleet Tech - Tech'!F$10,IF($F38="BBV",'Fleet Tech - Tech'!F$11,IF($F38="CB",'Fleet Tech - Tech'!F$15,IF($F38="AE",'Fleet Tech - Tech'!F$16,IF($F38="IX",'Fleet Tech - Tech'!F$17,IF($F38="BM",'Fleet Tech - Tech'!F$13,IF($F38="AR",'Fleet Tech - Tech'!F$12,IF($F38="SSV",'Fleet Tech - Tech'!F$14,"nil"))))))))))))))),0)</f>
        <v>0</v>
      </c>
      <c r="AZ38" s="12">
        <f>IF($H38=3,IF(OR($F38="DDV",$F38="DDG",$F38="DD"),'Fleet Tech - Tech'!G$3,IF($F38="CL",'Fleet Tech - Tech'!G$4,IF($F38="CA",'Fleet Tech - Tech'!G$5,IF($F38="BC",'Fleet Tech - Tech'!G$6,IF($F38="BB",'Fleet Tech - Tech'!G$7,IF($F38="CVL",'Fleet Tech - Tech'!G$8,IF($F38="CV",'Fleet Tech - Tech'!G$9,IF($F38="SS",'Fleet Tech - Tech'!G$10,IF($F38="BBV",'Fleet Tech - Tech'!G$11,IF($F38="CB",'Fleet Tech - Tech'!G$15,IF($F38="AE",'Fleet Tech - Tech'!G$16,IF($F38="IX",'Fleet Tech - Tech'!G$17,IF($F38="BM",'Fleet Tech - Tech'!G$13,IF($F38="AR",'Fleet Tech - Tech'!G$12,IF($F38="SSV",'Fleet Tech - Tech'!G$14,"nil"))))))))))))))),0)</f>
        <v>1</v>
      </c>
      <c r="BA38" s="12">
        <f>IF($H38=3,IF(OR($F38="DDV",$F38="DDG",$F38="DD"),'Fleet Tech - Tech'!H$3,IF($F38="CL",'Fleet Tech - Tech'!H$4,IF($F38="CA",'Fleet Tech - Tech'!H$5,IF($F38="BC",'Fleet Tech - Tech'!H$6,IF($F38="BB",'Fleet Tech - Tech'!H$7,IF($F38="CVL",'Fleet Tech - Tech'!H$8,IF($F38="CV",'Fleet Tech - Tech'!H$9,IF($F38="SS",'Fleet Tech - Tech'!H$10,IF($F38="BBV",'Fleet Tech - Tech'!H$11,IF($F38="CB",'Fleet Tech - Tech'!H$15,IF($F38="AE",'Fleet Tech - Tech'!H$16,IF($F38="IX",'Fleet Tech - Tech'!H$17,IF($F38="BM",'Fleet Tech - Tech'!H$13,IF($F38="AR",'Fleet Tech - Tech'!H$12,IF($F38="SSV",'Fleet Tech - Tech'!H$14,"nil"))))))))))))))),0)</f>
        <v>0</v>
      </c>
      <c r="BB38" s="12">
        <f>IF($H38=3,IF(OR($F38="DDV",$F38="DDG",$F38="DD"),'Fleet Tech - Tech'!I$3,IF($F38="CL",'Fleet Tech - Tech'!I$4,IF($F38="CA",'Fleet Tech - Tech'!I$5,IF($F38="BC",'Fleet Tech - Tech'!I$6,IF($F38="BB",'Fleet Tech - Tech'!I$7,IF($F38="CVL",'Fleet Tech - Tech'!I$8,IF($F38="CV",'Fleet Tech - Tech'!I$9,IF($F38="SS",'Fleet Tech - Tech'!I$10,IF($F38="BBV",'Fleet Tech - Tech'!I$11,IF($F38="CB",'Fleet Tech - Tech'!I$15,IF($F38="AE",'Fleet Tech - Tech'!I$16,IF($F38="IX",'Fleet Tech - Tech'!I$17,IF($F38="BM",'Fleet Tech - Tech'!I$13,IF($F38="AR",'Fleet Tech - Tech'!I$12,IF($F38="SSV",'Fleet Tech - Tech'!I$14,"nil"))))))))))))))),0)</f>
        <v>0</v>
      </c>
      <c r="BC38" s="12">
        <f>IF($H38=3,IF(OR($F38="DDV",$F38="DDG",$F38="DD"),'Fleet Tech - Tech'!J$3,IF($F38="CL",'Fleet Tech - Tech'!J$4,IF($F38="CA",'Fleet Tech - Tech'!J$5,IF($F38="BC",'Fleet Tech - Tech'!J$6,IF($F38="BB",'Fleet Tech - Tech'!J$7,IF($F38="CVL",'Fleet Tech - Tech'!J$8,IF($F38="CV",'Fleet Tech - Tech'!J$9,IF($F38="SS",'Fleet Tech - Tech'!J$10,IF($F38="BBV",'Fleet Tech - Tech'!J$11,IF($F38="CB",'Fleet Tech - Tech'!J$15,IF($F38="AE",'Fleet Tech - Tech'!J$16,IF($F38="IX",'Fleet Tech - Tech'!J$17,IF($F38="BM",'Fleet Tech - Tech'!J$13,IF($F38="AR",'Fleet Tech - Tech'!J$12,IF($F38="SSV",'Fleet Tech - Tech'!J$14,"nil"))))))))))))))),0)</f>
        <v>0</v>
      </c>
      <c r="BD38" s="12">
        <f>IF($H38=3,IF(OR($F38="DDV",$F38="DDG",$F38="DD"),'Fleet Tech - Tech'!K$3,IF($F38="CL",'Fleet Tech - Tech'!K$4,IF($F38="CA",'Fleet Tech - Tech'!K$5,IF($F38="BC",'Fleet Tech - Tech'!K$6,IF($F38="BB",'Fleet Tech - Tech'!K$7,IF($F38="CVL",'Fleet Tech - Tech'!K$8,IF($F38="CV",'Fleet Tech - Tech'!K$9,IF($F38="SS",'Fleet Tech - Tech'!K$10,IF($F38="BBV",'Fleet Tech - Tech'!K$11,IF($F38="CB",'Fleet Tech - Tech'!K$15,IF($F38="AE",'Fleet Tech - Tech'!K$16,IF($F38="IX",'Fleet Tech - Tech'!K$17,IF($F38="BM",'Fleet Tech - Tech'!K$13,IF($F38="AR",'Fleet Tech - Tech'!K$12,IF($F38="SSV",'Fleet Tech - Tech'!K$14,"nil"))))))))))))))),0)</f>
        <v>0</v>
      </c>
      <c r="BE38" s="12">
        <f>IF($H38=3,IF(OR($F38="DDV",$F38="DDG",$F38="DD"),'Fleet Tech - Tech'!L$3,IF($F38="CL",'Fleet Tech - Tech'!L$4,IF($F38="CA",'Fleet Tech - Tech'!L$5,IF($F38="BC",'Fleet Tech - Tech'!L$6,IF($F38="BB",'Fleet Tech - Tech'!L$7,IF($F38="CVL",'Fleet Tech - Tech'!L$8,IF($F38="CV",'Fleet Tech - Tech'!L$9,IF($F38="SS",'Fleet Tech - Tech'!L$10,IF($F38="BBV",'Fleet Tech - Tech'!L$11,IF($F38="CB",'Fleet Tech - Tech'!L$15,IF($F38="AE",'Fleet Tech - Tech'!L$16,IF($F38="IX",'Fleet Tech - Tech'!L$17,IF($F38="BM",'Fleet Tech - Tech'!L$13,IF($F38="AR",'Fleet Tech - Tech'!L$12,IF($F38="SSV",'Fleet Tech - Tech'!L$14,"nil"))))))))))))))),0)</f>
        <v>1</v>
      </c>
      <c r="BF38" s="12">
        <f>IF($H38=3,IF(OR($F38="DDV",$F38="DDG",$F38="DD"),'Fleet Tech - Tech'!M$3,IF($F38="CL",'Fleet Tech - Tech'!M$4,IF($F38="CA",'Fleet Tech - Tech'!M$5,IF($F38="BC",'Fleet Tech - Tech'!M$6,IF($F38="BB",'Fleet Tech - Tech'!M$7,IF($F38="CVL",'Fleet Tech - Tech'!M$8,IF($F38="CV",'Fleet Tech - Tech'!M$9,IF($F38="SS",'Fleet Tech - Tech'!M$10,IF($F38="BBV",'Fleet Tech - Tech'!M$11,IF($F38="CB",'Fleet Tech - Tech'!M$15,IF($F38="AE",'Fleet Tech - Tech'!M$16,IF($F38="IX",'Fleet Tech - Tech'!M$17,IF($F38="BM",'Fleet Tech - Tech'!M$13,IF($F38="AR",'Fleet Tech - Tech'!M$12,IF($F38="SSV",'Fleet Tech - Tech'!M$14,"nil"))))))))))))))),0)</f>
        <v>5</v>
      </c>
      <c r="BG38" s="12">
        <f>IF($H38=3,IF(OR($F38="DDV",$F38="DDG",$F38="DD"),'Fleet Tech - Tech'!N$3,IF($F38="CL",'Fleet Tech - Tech'!N$4,IF($F38="CA",'Fleet Tech - Tech'!N$5,IF($F38="BC",'Fleet Tech - Tech'!N$6,IF($F38="BB",'Fleet Tech - Tech'!N$7,IF($F38="CVL",'Fleet Tech - Tech'!N$8,IF($F38="CV",'Fleet Tech - Tech'!N$9,IF($F38="SS",'Fleet Tech - Tech'!N$10,IF($F38="BBV",'Fleet Tech - Tech'!N$11,IF($F38="CB",'Fleet Tech - Tech'!N$15,IF($F38="AE",'Fleet Tech - Tech'!N$16,IF($F38="IX",'Fleet Tech - Tech'!N$17,IF($F38="BM",'Fleet Tech - Tech'!N$13,IF($F38="AR",'Fleet Tech - Tech'!N$12,IF($F38="SSV",'Fleet Tech - Tech'!N$14,"nil"))))))))))))))),0)</f>
        <v>0</v>
      </c>
      <c r="BH38" s="28"/>
      <c r="BI38" s="12">
        <v>1405</v>
      </c>
      <c r="BJ38" s="12">
        <v>72</v>
      </c>
      <c r="BK38" s="12">
        <v>139</v>
      </c>
      <c r="BL38" s="12">
        <v>193</v>
      </c>
      <c r="BM38" s="12">
        <v>65</v>
      </c>
      <c r="BN38" s="12">
        <v>301</v>
      </c>
      <c r="BO38" s="12">
        <v>0</v>
      </c>
      <c r="BP38" s="12">
        <v>0</v>
      </c>
      <c r="BQ38" s="12">
        <v>46</v>
      </c>
      <c r="BR38" s="12">
        <v>9</v>
      </c>
      <c r="BS38" s="12">
        <v>146</v>
      </c>
      <c r="BT38" s="12">
        <v>226</v>
      </c>
      <c r="BU38" s="12">
        <v>180</v>
      </c>
      <c r="BV38" s="12">
        <v>125</v>
      </c>
      <c r="BW38" s="28"/>
      <c r="BX38" s="12">
        <v>-1</v>
      </c>
      <c r="BY38" s="12">
        <v>-1</v>
      </c>
      <c r="BZ38" s="12">
        <v>3</v>
      </c>
      <c r="CA38" s="12">
        <v>6</v>
      </c>
      <c r="CB38" s="12">
        <v>4</v>
      </c>
      <c r="CC38" s="12">
        <v>0</v>
      </c>
      <c r="CD38" s="12">
        <v>3</v>
      </c>
      <c r="CE38" s="12">
        <v>4</v>
      </c>
      <c r="CF38" s="12">
        <v>3</v>
      </c>
      <c r="CG38" s="12">
        <v>3</v>
      </c>
      <c r="CH38" s="12">
        <v>-1</v>
      </c>
      <c r="CI38" s="12">
        <v>-1</v>
      </c>
      <c r="CJ38" s="47"/>
      <c r="CK38" s="48">
        <f>IF(BX38=5,320,IF(BX38=4,195,IF(BX38=3,132,IF(BX38=2,90,IF(BX38=1,58,IF(BX38=-1,0,35))))))</f>
        <v>0</v>
      </c>
      <c r="CL38" s="48">
        <f>IF(BX38=5,20,IF(BX38=4,15,IF(BX38=3,12,IF(BX38=2,10,IF(BX38=1,8,IF(BX38=-1,0,5))))))</f>
        <v>0</v>
      </c>
      <c r="CM38" s="48">
        <f>IF(BZ38=5,320,IF(BZ38=4,195,IF(BZ38=3,132,IF(BZ38=2,90,IF(BZ38=1,58,IF(BZ38=-1,0,35))))))</f>
        <v>132</v>
      </c>
      <c r="CN38" s="48">
        <f>IF(BZ38=5,20,IF(BZ38=4,15,IF(BZ38=3,12,IF(BZ38=2,10,IF(BZ38=1,8,IF(BZ38=-1,0,5))))))</f>
        <v>12</v>
      </c>
      <c r="CO38" s="48">
        <f>IF(CB38=5,320,IF(CB38=4,195,IF(CB38=3,132,IF(CB38=2,90,IF(CB38=1,58,IF(CB38=-1,0,35))))))</f>
        <v>195</v>
      </c>
      <c r="CP38" s="48">
        <f>IF(CB38=5,20,IF(CB38=4,15,IF(CB38=3,12,IF(CB38=2,10,IF(CB38=1,8,IF(CB38=-1,0,5))))))</f>
        <v>15</v>
      </c>
      <c r="CQ38" s="48">
        <f>IF(CD38=5,320,IF(CD38=4,195,IF(CD38=3,132,IF(CD38=2,90,IF(CD38=1,58,IF(CD38=-1,0,35))))))</f>
        <v>132</v>
      </c>
      <c r="CR38" s="48">
        <f>IF(CD38=5,20,IF(CD38=4,15,IF(CD38=3,12,IF(CD38=2,10,IF(CD38=1,8,IF(CD38=-1,0,5))))))</f>
        <v>12</v>
      </c>
      <c r="CS38" s="48">
        <f>IF(CF38=5,320,IF(CF38=4,195,IF(CF38=3,132,IF(CF38=2,90,IF(CF38=1,58,IF(CF38=-1,0,35))))))</f>
        <v>132</v>
      </c>
      <c r="CT38" s="48">
        <f>IF(CF38=5,20,IF(CF38=4,15,IF(CF38=3,12,IF(CF38=2,10,IF(CF38=1,8,IF(CF38=-1,0,5))))))</f>
        <v>12</v>
      </c>
      <c r="CU38" s="48">
        <f>IF(CH38=5,320,IF(CH38=4,195,IF(CH38=3,132,IF(CH38=2,90,IF(CH38=1,58,IF(CH38=-1,0,35))))))</f>
        <v>0</v>
      </c>
      <c r="CV38" s="48">
        <f>IF(CH38=5,20,IF(CH38=4,15,IF(CH38=3,12,IF(CH38=2,10,IF(CH38=1,8,IF(CH38=-1,0,5))))))</f>
        <v>0</v>
      </c>
      <c r="CW38" s="48">
        <f>IF(BY38&gt;10,(BY38/10)-ROUNDDOWN(BY38/10,0),0)+IF(CA38&gt;10,(CA38/10)-ROUNDDOWN(CA38/10,0),0)+IF(CC38&gt;10,(CC38/10)-ROUNDDOWN(CC38/10,0),0)+IF(CE38&gt;10,(CE38/10)-ROUNDDOWN(CE38/10,0),0)+IF(CG38&gt;10,(CG38/10)-ROUNDDOWN(CG38/10,0),0)+IF(CI38&gt;10,(CI38/10)-ROUNDDOWN(CI38/10,0),0)</f>
        <v>0</v>
      </c>
      <c r="CX38" s="48">
        <f>1+(CW38/10)</f>
        <v>1</v>
      </c>
    </row>
    <row r="39" ht="20.05" customHeight="1">
      <c r="A39" t="s" s="43">
        <v>316</v>
      </c>
      <c r="B39" s="49"/>
      <c r="C39" t="s" s="45">
        <v>73</v>
      </c>
      <c r="D39" s="13">
        <v>7</v>
      </c>
      <c r="E39" t="s" s="15">
        <v>232</v>
      </c>
      <c r="F39" t="s" s="15">
        <v>233</v>
      </c>
      <c r="G39" t="s" s="15">
        <v>314</v>
      </c>
      <c r="H39" s="12">
        <v>3</v>
      </c>
      <c r="I39" t="s" s="15">
        <v>273</v>
      </c>
      <c r="J39" s="12">
        <v>100</v>
      </c>
      <c r="K39" t="s" s="14">
        <v>236</v>
      </c>
      <c r="L39" t="s" s="15">
        <v>265</v>
      </c>
      <c r="M39" t="s" s="15">
        <v>22</v>
      </c>
      <c r="N39" s="46">
        <f>ROUND((SUM(AA39,T39:Y39,AC39:AE39,Z39*10)-AB39*15)*(IF(K39="Heavy",0.15,IF(K39="Medium",0,IF(K39="Light",-0.15,10)))+1),0)</f>
        <v>1077</v>
      </c>
      <c r="O39" s="46">
        <v>3480</v>
      </c>
      <c r="P39" s="46">
        <f>ROUNDDOWN((BI39+AU39+AG39)/5,0)+(BJ39+AV39+AH39)+(BN39+AZ39+AL39)+(BO39+BA39+AM39)+(BK39+AW39+AI39)+(BS39+BE39+AQ39)+(BL39+AX39+AJ39)+(BQ39+BC39+AO39)+(2*((BT39+BF39+AR39)+(BU39+BG39+AS39)))+(CK39+CM39+CO39+CQ39+CS39+CU39)+(CL39*BY39)+(CN39*CA39)+(CP39+CC39)+(CR39+CE39)+(CT39+CG39)+(CV39+CI39)+BV39</f>
        <v>3672</v>
      </c>
      <c r="Q39" s="46">
        <f>ROUNDDOWN(((S39/5)+T39+X39+Y39+U39+AC39+V39+AA39+(2*(AD39+AE39))+CK39+CM39+CO39+CQ39+CS39+CU39+(CL39*BX39)+(CN39*BZ39)+(CP39*CB39)+(CR39*CD39)+(CT39*CF39)+(CV39*CH39))*CX39,0)</f>
        <v>3282</v>
      </c>
      <c r="R39" s="46">
        <f>ROUNDDOWN(AVERAGE(P39:Q39),0)</f>
        <v>3477</v>
      </c>
      <c r="S39" s="12">
        <f>AG39+AU39+BI39</f>
        <v>4346</v>
      </c>
      <c r="T39" s="12">
        <f>AH39+AV39+BJ39</f>
        <v>176</v>
      </c>
      <c r="U39" s="12">
        <f>AI39+AW39+BK39</f>
        <v>353</v>
      </c>
      <c r="V39" s="12">
        <f>AJ39+AX39+BL39</f>
        <v>139</v>
      </c>
      <c r="W39" s="12">
        <f>AK39+AY39+BM39</f>
        <v>15</v>
      </c>
      <c r="X39" s="12">
        <f>AL39+AZ39+BN39</f>
        <v>357</v>
      </c>
      <c r="Y39" s="12">
        <f>AM39+BA39+BO39</f>
        <v>0</v>
      </c>
      <c r="Z39" s="12">
        <f>AN39+BB39+BP39</f>
        <v>0</v>
      </c>
      <c r="AA39" s="12">
        <f>AO39+BC39+BQ39</f>
        <v>33</v>
      </c>
      <c r="AB39" s="12">
        <f>AP39+BD39+BR39</f>
        <v>12</v>
      </c>
      <c r="AC39" s="12">
        <f>AQ39+BE39+BS39</f>
        <v>152</v>
      </c>
      <c r="AD39" s="12">
        <f>AR39+BF39+BT39</f>
        <v>82</v>
      </c>
      <c r="AE39" s="12">
        <f>AS39+BG39+BU39</f>
        <v>140</v>
      </c>
      <c r="AF39" s="28"/>
      <c r="AG39" s="12">
        <v>287</v>
      </c>
      <c r="AH39" s="12">
        <v>25</v>
      </c>
      <c r="AI39" s="12">
        <v>25</v>
      </c>
      <c r="AJ39" s="12">
        <v>0</v>
      </c>
      <c r="AK39" s="12">
        <v>0</v>
      </c>
      <c r="AL39" s="12">
        <v>45</v>
      </c>
      <c r="AM39" s="12">
        <v>0</v>
      </c>
      <c r="AN39" s="12">
        <v>0</v>
      </c>
      <c r="AO39" s="12">
        <v>0</v>
      </c>
      <c r="AP39" s="12">
        <v>0</v>
      </c>
      <c r="AQ39" s="12">
        <v>0</v>
      </c>
      <c r="AR39" s="12">
        <v>0</v>
      </c>
      <c r="AS39" s="12">
        <v>0</v>
      </c>
      <c r="AT39" s="28"/>
      <c r="AU39" s="12">
        <f>IF($H39=3,IF(OR($F39="DDV",$F39="DDG",$F39="DD"),'Fleet Tech - Tech'!B$3,IF($F39="CL",'Fleet Tech - Tech'!B$4,IF($F39="CA",'Fleet Tech - Tech'!B$5,IF($F39="BC",'Fleet Tech - Tech'!B$6,IF($F39="BB",'Fleet Tech - Tech'!B$7,IF($F39="CVL",'Fleet Tech - Tech'!B$8,IF($F39="CV",'Fleet Tech - Tech'!B$9,IF($F39="SS",'Fleet Tech - Tech'!B$10,IF($F39="BBV",'Fleet Tech - Tech'!B$11,IF($F39="CB",'Fleet Tech - Tech'!B$15,IF($F39="AE",'Fleet Tech - Tech'!B$16,IF($F39="IX",'Fleet Tech - Tech'!B$17,IF($F39="BM",'Fleet Tech - Tech'!B$13,IF($F39="AR",'Fleet Tech - Tech'!B$12,IF($F39="SSV",'Fleet Tech - Tech'!B$14,"nil"))))))))))))))),0)</f>
        <v>43</v>
      </c>
      <c r="AV39" s="12">
        <f>IF($H39=3,IF(OR($F39="DDV",$F39="DDG",$F39="DD"),'Fleet Tech - Tech'!C$3,IF($F39="CL",'Fleet Tech - Tech'!C$4,IF($F39="CA",'Fleet Tech - Tech'!C$5,IF($F39="BC",'Fleet Tech - Tech'!C$6,IF($F39="BB",'Fleet Tech - Tech'!C$7,IF($F39="CVL",'Fleet Tech - Tech'!C$8,IF($F39="CV",'Fleet Tech - Tech'!C$9,IF($F39="SS",'Fleet Tech - Tech'!C$10,IF($F39="BBV",'Fleet Tech - Tech'!C$11,IF($F39="CB",'Fleet Tech - Tech'!C$15,IF($F39="AE",'Fleet Tech - Tech'!C$16,IF($F39="IX",'Fleet Tech - Tech'!C$17,IF($F39="BM",'Fleet Tech - Tech'!C$13,IF($F39="AR",'Fleet Tech - Tech'!C$12,IF($F39="SSV",'Fleet Tech - Tech'!C$14,"nil"))))))))))))))),0)</f>
        <v>2</v>
      </c>
      <c r="AW39" s="12">
        <f>IF($H39=3,IF(OR($F39="DDV",$F39="DDG",$F39="DD"),'Fleet Tech - Tech'!D$3,IF($F39="CL",'Fleet Tech - Tech'!D$4,IF($F39="CA",'Fleet Tech - Tech'!D$5,IF($F39="BC",'Fleet Tech - Tech'!D$6,IF($F39="BB",'Fleet Tech - Tech'!D$7,IF($F39="CVL",'Fleet Tech - Tech'!D$8,IF($F39="CV",'Fleet Tech - Tech'!D$9,IF($F39="SS",'Fleet Tech - Tech'!D$10,IF($F39="BBV",'Fleet Tech - Tech'!D$11,IF($F39="CB",'Fleet Tech - Tech'!D$15,IF($F39="AE",'Fleet Tech - Tech'!D$16,IF($F39="IX",'Fleet Tech - Tech'!D$17,IF($F39="BM",'Fleet Tech - Tech'!D$13,IF($F39="AR",'Fleet Tech - Tech'!D$12,IF($F39="SSV",'Fleet Tech - Tech'!D$14,"nil"))))))))))))))),0)</f>
        <v>11</v>
      </c>
      <c r="AX39" s="12">
        <f>IF($H39=3,IF(OR($F39="DDV",$F39="DDG",$F39="DD"),'Fleet Tech - Tech'!E$3,IF($F39="CL",'Fleet Tech - Tech'!E$4,IF($F39="CA",'Fleet Tech - Tech'!E$5,IF($F39="BC",'Fleet Tech - Tech'!E$6,IF($F39="BB",'Fleet Tech - Tech'!E$7,IF($F39="CVL",'Fleet Tech - Tech'!E$8,IF($F39="CV",'Fleet Tech - Tech'!E$9,IF($F39="SS",'Fleet Tech - Tech'!E$10,IF($F39="BBV",'Fleet Tech - Tech'!E$11,IF($F39="CB",'Fleet Tech - Tech'!E$15,IF($F39="AE",'Fleet Tech - Tech'!E$16,IF($F39="IX",'Fleet Tech - Tech'!E$17,IF($F39="BM",'Fleet Tech - Tech'!E$13,IF($F39="AR",'Fleet Tech - Tech'!E$12,IF($F39="SSV",'Fleet Tech - Tech'!E$14,"nil"))))))))))))))),0)</f>
        <v>3</v>
      </c>
      <c r="AY39" s="12">
        <f>IF($H39=3,IF(OR($F39="DDV",$F39="DDG",$F39="DD"),'Fleet Tech - Tech'!F$3,IF($F39="CL",'Fleet Tech - Tech'!F$4,IF($F39="CA",'Fleet Tech - Tech'!F$5,IF($F39="BC",'Fleet Tech - Tech'!F$6,IF($F39="BB",'Fleet Tech - Tech'!F$7,IF($F39="CVL",'Fleet Tech - Tech'!F$8,IF($F39="CV",'Fleet Tech - Tech'!F$9,IF($F39="SS",'Fleet Tech - Tech'!F$10,IF($F39="BBV",'Fleet Tech - Tech'!F$11,IF($F39="CB",'Fleet Tech - Tech'!F$15,IF($F39="AE",'Fleet Tech - Tech'!F$16,IF($F39="IX",'Fleet Tech - Tech'!F$17,IF($F39="BM",'Fleet Tech - Tech'!F$13,IF($F39="AR",'Fleet Tech - Tech'!F$12,IF($F39="SSV",'Fleet Tech - Tech'!F$14,"nil"))))))))))))))),0)</f>
        <v>0</v>
      </c>
      <c r="AZ39" s="12">
        <f>IF($H39=3,IF(OR($F39="DDV",$F39="DDG",$F39="DD"),'Fleet Tech - Tech'!G$3,IF($F39="CL",'Fleet Tech - Tech'!G$4,IF($F39="CA",'Fleet Tech - Tech'!G$5,IF($F39="BC",'Fleet Tech - Tech'!G$6,IF($F39="BB",'Fleet Tech - Tech'!G$7,IF($F39="CVL",'Fleet Tech - Tech'!G$8,IF($F39="CV",'Fleet Tech - Tech'!G$9,IF($F39="SS",'Fleet Tech - Tech'!G$10,IF($F39="BBV",'Fleet Tech - Tech'!G$11,IF($F39="CB",'Fleet Tech - Tech'!G$15,IF($F39="AE",'Fleet Tech - Tech'!G$16,IF($F39="IX",'Fleet Tech - Tech'!G$17,IF($F39="BM",'Fleet Tech - Tech'!G$13,IF($F39="AR",'Fleet Tech - Tech'!G$12,IF($F39="SSV",'Fleet Tech - Tech'!G$14,"nil"))))))))))))))),0)</f>
        <v>5</v>
      </c>
      <c r="BA39" s="12">
        <f>IF($H39=3,IF(OR($F39="DDV",$F39="DDG",$F39="DD"),'Fleet Tech - Tech'!H$3,IF($F39="CL",'Fleet Tech - Tech'!H$4,IF($F39="CA",'Fleet Tech - Tech'!H$5,IF($F39="BC",'Fleet Tech - Tech'!H$6,IF($F39="BB",'Fleet Tech - Tech'!H$7,IF($F39="CVL",'Fleet Tech - Tech'!H$8,IF($F39="CV",'Fleet Tech - Tech'!H$9,IF($F39="SS",'Fleet Tech - Tech'!H$10,IF($F39="BBV",'Fleet Tech - Tech'!H$11,IF($F39="CB",'Fleet Tech - Tech'!H$15,IF($F39="AE",'Fleet Tech - Tech'!H$16,IF($F39="IX",'Fleet Tech - Tech'!H$17,IF($F39="BM",'Fleet Tech - Tech'!H$13,IF($F39="AR",'Fleet Tech - Tech'!H$12,IF($F39="SSV",'Fleet Tech - Tech'!H$14,"nil"))))))))))))))),0)</f>
        <v>0</v>
      </c>
      <c r="BB39" s="12">
        <f>IF($H39=3,IF(OR($F39="DDV",$F39="DDG",$F39="DD"),'Fleet Tech - Tech'!I$3,IF($F39="CL",'Fleet Tech - Tech'!I$4,IF($F39="CA",'Fleet Tech - Tech'!I$5,IF($F39="BC",'Fleet Tech - Tech'!I$6,IF($F39="BB",'Fleet Tech - Tech'!I$7,IF($F39="CVL",'Fleet Tech - Tech'!I$8,IF($F39="CV",'Fleet Tech - Tech'!I$9,IF($F39="SS",'Fleet Tech - Tech'!I$10,IF($F39="BBV",'Fleet Tech - Tech'!I$11,IF($F39="CB",'Fleet Tech - Tech'!I$15,IF($F39="AE",'Fleet Tech - Tech'!I$16,IF($F39="IX",'Fleet Tech - Tech'!I$17,IF($F39="BM",'Fleet Tech - Tech'!I$13,IF($F39="AR",'Fleet Tech - Tech'!I$12,IF($F39="SSV",'Fleet Tech - Tech'!I$14,"nil"))))))))))))))),0)</f>
        <v>0</v>
      </c>
      <c r="BC39" s="12">
        <f>IF($H39=3,IF(OR($F39="DDV",$F39="DDG",$F39="DD"),'Fleet Tech - Tech'!J$3,IF($F39="CL",'Fleet Tech - Tech'!J$4,IF($F39="CA",'Fleet Tech - Tech'!J$5,IF($F39="BC",'Fleet Tech - Tech'!J$6,IF($F39="BB",'Fleet Tech - Tech'!J$7,IF($F39="CVL",'Fleet Tech - Tech'!J$8,IF($F39="CV",'Fleet Tech - Tech'!J$9,IF($F39="SS",'Fleet Tech - Tech'!J$10,IF($F39="BBV",'Fleet Tech - Tech'!J$11,IF($F39="CB",'Fleet Tech - Tech'!J$15,IF($F39="AE",'Fleet Tech - Tech'!J$16,IF($F39="IX",'Fleet Tech - Tech'!J$17,IF($F39="BM",'Fleet Tech - Tech'!J$13,IF($F39="AR",'Fleet Tech - Tech'!J$12,IF($F39="SSV",'Fleet Tech - Tech'!J$14,"nil"))))))))))))))),0)</f>
        <v>0</v>
      </c>
      <c r="BD39" s="12">
        <f>IF($H39=3,IF(OR($F39="DDV",$F39="DDG",$F39="DD"),'Fleet Tech - Tech'!K$3,IF($F39="CL",'Fleet Tech - Tech'!K$4,IF($F39="CA",'Fleet Tech - Tech'!K$5,IF($F39="BC",'Fleet Tech - Tech'!K$6,IF($F39="BB",'Fleet Tech - Tech'!K$7,IF($F39="CVL",'Fleet Tech - Tech'!K$8,IF($F39="CV",'Fleet Tech - Tech'!K$9,IF($F39="SS",'Fleet Tech - Tech'!K$10,IF($F39="BBV",'Fleet Tech - Tech'!K$11,IF($F39="CB",'Fleet Tech - Tech'!K$15,IF($F39="AE",'Fleet Tech - Tech'!K$16,IF($F39="IX",'Fleet Tech - Tech'!K$17,IF($F39="BM",'Fleet Tech - Tech'!K$13,IF($F39="AR",'Fleet Tech - Tech'!K$12,IF($F39="SSV",'Fleet Tech - Tech'!K$14,"nil"))))))))))))))),0)</f>
        <v>0</v>
      </c>
      <c r="BE39" s="12">
        <f>IF($H39=3,IF(OR($F39="DDV",$F39="DDG",$F39="DD"),'Fleet Tech - Tech'!L$3,IF($F39="CL",'Fleet Tech - Tech'!L$4,IF($F39="CA",'Fleet Tech - Tech'!L$5,IF($F39="BC",'Fleet Tech - Tech'!L$6,IF($F39="BB",'Fleet Tech - Tech'!L$7,IF($F39="CVL",'Fleet Tech - Tech'!L$8,IF($F39="CV",'Fleet Tech - Tech'!L$9,IF($F39="SS",'Fleet Tech - Tech'!L$10,IF($F39="BBV",'Fleet Tech - Tech'!L$11,IF($F39="CB",'Fleet Tech - Tech'!L$15,IF($F39="AE",'Fleet Tech - Tech'!L$16,IF($F39="IX",'Fleet Tech - Tech'!L$17,IF($F39="BM",'Fleet Tech - Tech'!L$13,IF($F39="AR",'Fleet Tech - Tech'!L$12,IF($F39="SSV",'Fleet Tech - Tech'!L$14,"nil"))))))))))))))),0)</f>
        <v>5</v>
      </c>
      <c r="BF39" s="12">
        <f>IF($H39=3,IF(OR($F39="DDV",$F39="DDG",$F39="DD"),'Fleet Tech - Tech'!M$3,IF($F39="CL",'Fleet Tech - Tech'!M$4,IF($F39="CA",'Fleet Tech - Tech'!M$5,IF($F39="BC",'Fleet Tech - Tech'!M$6,IF($F39="BB",'Fleet Tech - Tech'!M$7,IF($F39="CVL",'Fleet Tech - Tech'!M$8,IF($F39="CV",'Fleet Tech - Tech'!M$9,IF($F39="SS",'Fleet Tech - Tech'!M$10,IF($F39="BBV",'Fleet Tech - Tech'!M$11,IF($F39="CB",'Fleet Tech - Tech'!M$15,IF($F39="AE",'Fleet Tech - Tech'!M$16,IF($F39="IX",'Fleet Tech - Tech'!M$17,IF($F39="BM",'Fleet Tech - Tech'!M$13,IF($F39="AR",'Fleet Tech - Tech'!M$12,IF($F39="SSV",'Fleet Tech - Tech'!M$14,"nil"))))))))))))))),0)</f>
        <v>0</v>
      </c>
      <c r="BG39" s="12">
        <f>IF($H39=3,IF(OR($F39="DDV",$F39="DDG",$F39="DD"),'Fleet Tech - Tech'!N$3,IF($F39="CL",'Fleet Tech - Tech'!N$4,IF($F39="CA",'Fleet Tech - Tech'!N$5,IF($F39="BC",'Fleet Tech - Tech'!N$6,IF($F39="BB",'Fleet Tech - Tech'!N$7,IF($F39="CVL",'Fleet Tech - Tech'!N$8,IF($F39="CV",'Fleet Tech - Tech'!N$9,IF($F39="SS",'Fleet Tech - Tech'!N$10,IF($F39="BBV",'Fleet Tech - Tech'!N$11,IF($F39="CB",'Fleet Tech - Tech'!N$15,IF($F39="AE",'Fleet Tech - Tech'!N$16,IF($F39="IX",'Fleet Tech - Tech'!N$17,IF($F39="BM",'Fleet Tech - Tech'!N$13,IF($F39="AR",'Fleet Tech - Tech'!N$12,IF($F39="SSV",'Fleet Tech - Tech'!N$14,"nil"))))))))))))))),0)</f>
        <v>6</v>
      </c>
      <c r="BH39" s="28"/>
      <c r="BI39" s="12">
        <v>4016</v>
      </c>
      <c r="BJ39" s="12">
        <v>149</v>
      </c>
      <c r="BK39" s="12">
        <v>317</v>
      </c>
      <c r="BL39" s="12">
        <v>136</v>
      </c>
      <c r="BM39" s="12">
        <v>15</v>
      </c>
      <c r="BN39" s="12">
        <v>307</v>
      </c>
      <c r="BO39" s="12">
        <v>0</v>
      </c>
      <c r="BP39" s="12">
        <v>0</v>
      </c>
      <c r="BQ39" s="12">
        <v>33</v>
      </c>
      <c r="BR39" s="12">
        <v>12</v>
      </c>
      <c r="BS39" s="12">
        <v>147</v>
      </c>
      <c r="BT39" s="12">
        <v>82</v>
      </c>
      <c r="BU39" s="12">
        <v>134</v>
      </c>
      <c r="BV39" s="12">
        <v>335</v>
      </c>
      <c r="BW39" s="28"/>
      <c r="BX39" s="12">
        <v>3</v>
      </c>
      <c r="BY39" s="12">
        <v>8</v>
      </c>
      <c r="BZ39" s="12">
        <v>4</v>
      </c>
      <c r="CA39" s="12">
        <v>6</v>
      </c>
      <c r="CB39" s="12">
        <v>3</v>
      </c>
      <c r="CC39" s="12">
        <v>8</v>
      </c>
      <c r="CD39" s="12">
        <v>3</v>
      </c>
      <c r="CE39" s="12">
        <v>7</v>
      </c>
      <c r="CF39" s="12">
        <v>-1</v>
      </c>
      <c r="CG39" s="12">
        <v>-1</v>
      </c>
      <c r="CH39" s="12">
        <v>-1</v>
      </c>
      <c r="CI39" s="12">
        <v>-1</v>
      </c>
      <c r="CJ39" s="47"/>
      <c r="CK39" s="48">
        <f>IF(BX39=5,320,IF(BX39=4,195,IF(BX39=3,132,IF(BX39=2,90,IF(BX39=1,58,IF(BX39=-1,0,35))))))</f>
        <v>132</v>
      </c>
      <c r="CL39" s="48">
        <f>IF(BX39=5,20,IF(BX39=4,15,IF(BX39=3,12,IF(BX39=2,10,IF(BX39=1,8,IF(BX39=-1,0,5))))))</f>
        <v>12</v>
      </c>
      <c r="CM39" s="48">
        <f>IF(BZ39=5,320,IF(BZ39=4,195,IF(BZ39=3,132,IF(BZ39=2,90,IF(BZ39=1,58,IF(BZ39=-1,0,35))))))</f>
        <v>195</v>
      </c>
      <c r="CN39" s="48">
        <f>IF(BZ39=5,20,IF(BZ39=4,15,IF(BZ39=3,12,IF(BZ39=2,10,IF(BZ39=1,8,IF(BZ39=-1,0,5))))))</f>
        <v>15</v>
      </c>
      <c r="CO39" s="48">
        <f>IF(CB39=5,320,IF(CB39=4,195,IF(CB39=3,132,IF(CB39=2,90,IF(CB39=1,58,IF(CB39=-1,0,35))))))</f>
        <v>132</v>
      </c>
      <c r="CP39" s="48">
        <f>IF(CB39=5,20,IF(CB39=4,15,IF(CB39=3,12,IF(CB39=2,10,IF(CB39=1,8,IF(CB39=-1,0,5))))))</f>
        <v>12</v>
      </c>
      <c r="CQ39" s="48">
        <f>IF(CD39=5,320,IF(CD39=4,195,IF(CD39=3,132,IF(CD39=2,90,IF(CD39=1,58,IF(CD39=-1,0,35))))))</f>
        <v>132</v>
      </c>
      <c r="CR39" s="48">
        <f>IF(CD39=5,20,IF(CD39=4,15,IF(CD39=3,12,IF(CD39=2,10,IF(CD39=1,8,IF(CD39=-1,0,5))))))</f>
        <v>12</v>
      </c>
      <c r="CS39" s="48">
        <f>IF(CF39=5,320,IF(CF39=4,195,IF(CF39=3,132,IF(CF39=2,90,IF(CF39=1,58,IF(CF39=-1,0,35))))))</f>
        <v>0</v>
      </c>
      <c r="CT39" s="48">
        <f>IF(CF39=5,20,IF(CF39=4,15,IF(CF39=3,12,IF(CF39=2,10,IF(CF39=1,8,IF(CF39=-1,0,5))))))</f>
        <v>0</v>
      </c>
      <c r="CU39" s="48">
        <f>IF(CH39=5,320,IF(CH39=4,195,IF(CH39=3,132,IF(CH39=2,90,IF(CH39=1,58,IF(CH39=-1,0,35))))))</f>
        <v>0</v>
      </c>
      <c r="CV39" s="48">
        <f>IF(CH39=5,20,IF(CH39=4,15,IF(CH39=3,12,IF(CH39=2,10,IF(CH39=1,8,IF(CH39=-1,0,5))))))</f>
        <v>0</v>
      </c>
      <c r="CW39" s="48">
        <f>IF(BY39&gt;10,(BY39/10)-ROUNDDOWN(BY39/10,0),0)+IF(CA39&gt;10,(CA39/10)-ROUNDDOWN(CA39/10,0),0)+IF(CC39&gt;10,(CC39/10)-ROUNDDOWN(CC39/10,0),0)+IF(CE39&gt;10,(CE39/10)-ROUNDDOWN(CE39/10,0),0)+IF(CG39&gt;10,(CG39/10)-ROUNDDOWN(CG39/10,0),0)+IF(CI39&gt;10,(CI39/10)-ROUNDDOWN(CI39/10,0),0)</f>
        <v>0</v>
      </c>
      <c r="CX39" s="48">
        <f>1+(CW39/10)</f>
        <v>1</v>
      </c>
    </row>
    <row r="40" ht="20.05" customHeight="1">
      <c r="A40" t="s" s="43">
        <v>317</v>
      </c>
      <c r="B40" s="49"/>
      <c r="C40" t="s" s="45">
        <v>73</v>
      </c>
      <c r="D40" s="13">
        <v>7</v>
      </c>
      <c r="E40" t="s" s="15">
        <v>240</v>
      </c>
      <c r="F40" t="s" s="15">
        <v>241</v>
      </c>
      <c r="G40" t="s" s="15">
        <v>262</v>
      </c>
      <c r="H40" s="12">
        <v>3</v>
      </c>
      <c r="I40" t="s" s="15">
        <v>277</v>
      </c>
      <c r="J40" s="12">
        <v>100</v>
      </c>
      <c r="K40" t="s" s="14">
        <v>242</v>
      </c>
      <c r="L40" t="s" s="15">
        <v>265</v>
      </c>
      <c r="M40" t="s" s="15">
        <v>27</v>
      </c>
      <c r="N40" s="46">
        <f>ROUND((SUM(AA40,T40:Y40,AC40:AE40,Z40*10)-AB40*15)*(IF(K40="Heavy",0.15,IF(K40="Medium",0,IF(K40="Light",-0.15,10)))+1),0)</f>
        <v>858</v>
      </c>
      <c r="O40" s="46">
        <v>2547</v>
      </c>
      <c r="P40" s="46">
        <f>ROUNDDOWN((BI40+AU40+AG40)/5,0)+(BJ40+AV40+AH40)+(BN40+AZ40+AL40)+(BO40+BA40+AM40)+(BK40+AW40+AI40)+(BS40+BE40+AQ40)+(BL40+AX40+AJ40)+(BQ40+BC40+AO40)+(2*((BT40+BF40+AR40)+(BU40+BG40+AS40)))+(CK40+CM40+CO40+CQ40+CS40+CU40)+(CL40*BY40)+(CN40*CA40)+(CP40+CC40)+(CR40+CE40)+(CT40+CG40)+(CV40+CI40)+BV40</f>
        <v>2878</v>
      </c>
      <c r="Q40" s="46">
        <f>ROUNDDOWN(((S40/5)+T40+X40+Y40+U40+AC40+V40+AA40+(2*(AD40+AE40))+CK40+CM40+CO40+CQ40+CS40+CU40+(CL40*BX40)+(CN40*BZ40)+(CP40*CB40)+(CR40*CD40)+(CT40*CF40)+(CV40*CH40))*CX40,0)</f>
        <v>2626</v>
      </c>
      <c r="R40" s="46">
        <f>ROUNDDOWN(AVERAGE(P40:Q40),0)</f>
        <v>2752</v>
      </c>
      <c r="S40" s="12">
        <f>AG40+AU40+BI40</f>
        <v>6347</v>
      </c>
      <c r="T40" s="12">
        <f>AH40+AV40+BJ40</f>
        <v>0</v>
      </c>
      <c r="U40" s="12">
        <f>AI40+AW40+BK40</f>
        <v>284</v>
      </c>
      <c r="V40" s="12">
        <f>AJ40+AX40+BL40</f>
        <v>0</v>
      </c>
      <c r="W40" s="12">
        <f>AK40+AY40+BM40</f>
        <v>66</v>
      </c>
      <c r="X40" s="12">
        <f>AL40+AZ40+BN40</f>
        <v>0</v>
      </c>
      <c r="Y40" s="12">
        <f>AM40+BA40+BO40</f>
        <v>401</v>
      </c>
      <c r="Z40" s="12">
        <f>AN40+BB40+BP40</f>
        <v>0</v>
      </c>
      <c r="AA40" s="12">
        <f>AO40+BC40+BQ40</f>
        <v>33</v>
      </c>
      <c r="AB40" s="12">
        <f>AP40+BD40+BR40</f>
        <v>12</v>
      </c>
      <c r="AC40" s="12">
        <f>AQ40+BE40+BS40</f>
        <v>124</v>
      </c>
      <c r="AD40" s="12">
        <f>AR40+BF40+BT40</f>
        <v>48</v>
      </c>
      <c r="AE40" s="12">
        <f>AS40+BG40+BU40</f>
        <v>82</v>
      </c>
      <c r="AF40" s="28"/>
      <c r="AG40" s="12">
        <v>0</v>
      </c>
      <c r="AH40" s="12">
        <v>0</v>
      </c>
      <c r="AI40" s="12">
        <v>0</v>
      </c>
      <c r="AJ40" s="12">
        <v>0</v>
      </c>
      <c r="AK40" s="12">
        <v>0</v>
      </c>
      <c r="AL40" s="12">
        <v>0</v>
      </c>
      <c r="AM40" s="12">
        <v>37</v>
      </c>
      <c r="AN40" s="12">
        <v>0</v>
      </c>
      <c r="AO40" s="12">
        <v>0</v>
      </c>
      <c r="AP40" s="12">
        <v>0</v>
      </c>
      <c r="AQ40" s="12">
        <v>14</v>
      </c>
      <c r="AR40" s="12">
        <v>0</v>
      </c>
      <c r="AS40" s="12">
        <v>0</v>
      </c>
      <c r="AT40" s="28"/>
      <c r="AU40" s="12">
        <f>IF($H40=3,IF(OR($F40="DDV",$F40="DDG",$F40="DD"),'Fleet Tech - Tech'!B$3,IF($F40="CL",'Fleet Tech - Tech'!B$4,IF($F40="CA",'Fleet Tech - Tech'!B$5,IF($F40="BC",'Fleet Tech - Tech'!B$6,IF($F40="BB",'Fleet Tech - Tech'!B$7,IF($F40="CVL",'Fleet Tech - Tech'!B$8,IF($F40="CV",'Fleet Tech - Tech'!B$9,IF($F40="SS",'Fleet Tech - Tech'!B$10,IF($F40="BBV",'Fleet Tech - Tech'!B$11,IF($F40="CB",'Fleet Tech - Tech'!B$15,IF($F40="AE",'Fleet Tech - Tech'!B$16,IF($F40="IX",'Fleet Tech - Tech'!B$17,IF($F40="BM",'Fleet Tech - Tech'!B$13,IF($F40="AR",'Fleet Tech - Tech'!B$12,IF($F40="SSV",'Fleet Tech - Tech'!B$14,"nil"))))))))))))))),0)</f>
        <v>45</v>
      </c>
      <c r="AV40" s="12">
        <f>IF($H40=3,IF(OR($F40="DDV",$F40="DDG",$F40="DD"),'Fleet Tech - Tech'!C$3,IF($F40="CL",'Fleet Tech - Tech'!C$4,IF($F40="CA",'Fleet Tech - Tech'!C$5,IF($F40="BC",'Fleet Tech - Tech'!C$6,IF($F40="BB",'Fleet Tech - Tech'!C$7,IF($F40="CVL",'Fleet Tech - Tech'!C$8,IF($F40="CV",'Fleet Tech - Tech'!C$9,IF($F40="SS",'Fleet Tech - Tech'!C$10,IF($F40="BBV",'Fleet Tech - Tech'!C$11,IF($F40="CB",'Fleet Tech - Tech'!C$15,IF($F40="AE",'Fleet Tech - Tech'!C$16,IF($F40="IX",'Fleet Tech - Tech'!C$17,IF($F40="BM",'Fleet Tech - Tech'!C$13,IF($F40="AR",'Fleet Tech - Tech'!C$12,IF($F40="SSV",'Fleet Tech - Tech'!C$14,"nil"))))))))))))))),0)</f>
        <v>0</v>
      </c>
      <c r="AW40" s="12">
        <f>IF($H40=3,IF(OR($F40="DDV",$F40="DDG",$F40="DD"),'Fleet Tech - Tech'!D$3,IF($F40="CL",'Fleet Tech - Tech'!D$4,IF($F40="CA",'Fleet Tech - Tech'!D$5,IF($F40="BC",'Fleet Tech - Tech'!D$6,IF($F40="BB",'Fleet Tech - Tech'!D$7,IF($F40="CVL",'Fleet Tech - Tech'!D$8,IF($F40="CV",'Fleet Tech - Tech'!D$9,IF($F40="SS",'Fleet Tech - Tech'!D$10,IF($F40="BBV",'Fleet Tech - Tech'!D$11,IF($F40="CB",'Fleet Tech - Tech'!D$15,IF($F40="AE",'Fleet Tech - Tech'!D$16,IF($F40="IX",'Fleet Tech - Tech'!D$17,IF($F40="BM",'Fleet Tech - Tech'!D$13,IF($F40="AR",'Fleet Tech - Tech'!D$12,IF($F40="SSV",'Fleet Tech - Tech'!D$14,"nil"))))))))))))))),0)</f>
        <v>0</v>
      </c>
      <c r="AX40" s="12">
        <f>IF($H40=3,IF(OR($F40="DDV",$F40="DDG",$F40="DD"),'Fleet Tech - Tech'!E$3,IF($F40="CL",'Fleet Tech - Tech'!E$4,IF($F40="CA",'Fleet Tech - Tech'!E$5,IF($F40="BC",'Fleet Tech - Tech'!E$6,IF($F40="BB",'Fleet Tech - Tech'!E$7,IF($F40="CVL",'Fleet Tech - Tech'!E$8,IF($F40="CV",'Fleet Tech - Tech'!E$9,IF($F40="SS",'Fleet Tech - Tech'!E$10,IF($F40="BBV",'Fleet Tech - Tech'!E$11,IF($F40="CB",'Fleet Tech - Tech'!E$15,IF($F40="AE",'Fleet Tech - Tech'!E$16,IF($F40="IX",'Fleet Tech - Tech'!E$17,IF($F40="BM",'Fleet Tech - Tech'!E$13,IF($F40="AR",'Fleet Tech - Tech'!E$12,IF($F40="SSV",'Fleet Tech - Tech'!E$14,"nil"))))))))))))))),0)</f>
        <v>0</v>
      </c>
      <c r="AY40" s="12">
        <f>IF($H40=3,IF(OR($F40="DDV",$F40="DDG",$F40="DD"),'Fleet Tech - Tech'!F$3,IF($F40="CL",'Fleet Tech - Tech'!F$4,IF($F40="CA",'Fleet Tech - Tech'!F$5,IF($F40="BC",'Fleet Tech - Tech'!F$6,IF($F40="BB",'Fleet Tech - Tech'!F$7,IF($F40="CVL",'Fleet Tech - Tech'!F$8,IF($F40="CV",'Fleet Tech - Tech'!F$9,IF($F40="SS",'Fleet Tech - Tech'!F$10,IF($F40="BBV",'Fleet Tech - Tech'!F$11,IF($F40="CB",'Fleet Tech - Tech'!F$15,IF($F40="AE",'Fleet Tech - Tech'!F$16,IF($F40="IX",'Fleet Tech - Tech'!F$17,IF($F40="BM",'Fleet Tech - Tech'!F$13,IF($F40="AR",'Fleet Tech - Tech'!F$12,IF($F40="SSV",'Fleet Tech - Tech'!F$14,"nil"))))))))))))))),0)</f>
        <v>0</v>
      </c>
      <c r="AZ40" s="12">
        <f>IF($H40=3,IF(OR($F40="DDV",$F40="DDG",$F40="DD"),'Fleet Tech - Tech'!G$3,IF($F40="CL",'Fleet Tech - Tech'!G$4,IF($F40="CA",'Fleet Tech - Tech'!G$5,IF($F40="BC",'Fleet Tech - Tech'!G$6,IF($F40="BB",'Fleet Tech - Tech'!G$7,IF($F40="CVL",'Fleet Tech - Tech'!G$8,IF($F40="CV",'Fleet Tech - Tech'!G$9,IF($F40="SS",'Fleet Tech - Tech'!G$10,IF($F40="BBV",'Fleet Tech - Tech'!G$11,IF($F40="CB",'Fleet Tech - Tech'!G$15,IF($F40="AE",'Fleet Tech - Tech'!G$16,IF($F40="IX",'Fleet Tech - Tech'!G$17,IF($F40="BM",'Fleet Tech - Tech'!G$13,IF($F40="AR",'Fleet Tech - Tech'!G$12,IF($F40="SSV",'Fleet Tech - Tech'!G$14,"nil"))))))))))))))),0)</f>
        <v>0</v>
      </c>
      <c r="BA40" s="12">
        <f>IF($H40=3,IF(OR($F40="DDV",$F40="DDG",$F40="DD"),'Fleet Tech - Tech'!H$3,IF($F40="CL",'Fleet Tech - Tech'!H$4,IF($F40="CA",'Fleet Tech - Tech'!H$5,IF($F40="BC",'Fleet Tech - Tech'!H$6,IF($F40="BB",'Fleet Tech - Tech'!H$7,IF($F40="CVL",'Fleet Tech - Tech'!H$8,IF($F40="CV",'Fleet Tech - Tech'!H$9,IF($F40="SS",'Fleet Tech - Tech'!H$10,IF($F40="BBV",'Fleet Tech - Tech'!H$11,IF($F40="CB",'Fleet Tech - Tech'!H$15,IF($F40="AE",'Fleet Tech - Tech'!H$16,IF($F40="IX",'Fleet Tech - Tech'!H$17,IF($F40="BM",'Fleet Tech - Tech'!H$13,IF($F40="AR",'Fleet Tech - Tech'!H$12,IF($F40="SSV",'Fleet Tech - Tech'!H$14,"nil"))))))))))))))),0)</f>
        <v>10</v>
      </c>
      <c r="BB40" s="12">
        <f>IF($H40=3,IF(OR($F40="DDV",$F40="DDG",$F40="DD"),'Fleet Tech - Tech'!I$3,IF($F40="CL",'Fleet Tech - Tech'!I$4,IF($F40="CA",'Fleet Tech - Tech'!I$5,IF($F40="BC",'Fleet Tech - Tech'!I$6,IF($F40="BB",'Fleet Tech - Tech'!I$7,IF($F40="CVL",'Fleet Tech - Tech'!I$8,IF($F40="CV",'Fleet Tech - Tech'!I$9,IF($F40="SS",'Fleet Tech - Tech'!I$10,IF($F40="BBV",'Fleet Tech - Tech'!I$11,IF($F40="CB",'Fleet Tech - Tech'!I$15,IF($F40="AE",'Fleet Tech - Tech'!I$16,IF($F40="IX",'Fleet Tech - Tech'!I$17,IF($F40="BM",'Fleet Tech - Tech'!I$13,IF($F40="AR",'Fleet Tech - Tech'!I$12,IF($F40="SSV",'Fleet Tech - Tech'!I$14,"nil"))))))))))))))),0)</f>
        <v>0</v>
      </c>
      <c r="BC40" s="12">
        <f>IF($H40=3,IF(OR($F40="DDV",$F40="DDG",$F40="DD"),'Fleet Tech - Tech'!J$3,IF($F40="CL",'Fleet Tech - Tech'!J$4,IF($F40="CA",'Fleet Tech - Tech'!J$5,IF($F40="BC",'Fleet Tech - Tech'!J$6,IF($F40="BB",'Fleet Tech - Tech'!J$7,IF($F40="CVL",'Fleet Tech - Tech'!J$8,IF($F40="CV",'Fleet Tech - Tech'!J$9,IF($F40="SS",'Fleet Tech - Tech'!J$10,IF($F40="BBV",'Fleet Tech - Tech'!J$11,IF($F40="CB",'Fleet Tech - Tech'!J$15,IF($F40="AE",'Fleet Tech - Tech'!J$16,IF($F40="IX",'Fleet Tech - Tech'!J$17,IF($F40="BM",'Fleet Tech - Tech'!J$13,IF($F40="AR",'Fleet Tech - Tech'!J$12,IF($F40="SSV",'Fleet Tech - Tech'!J$14,"nil"))))))))))))))),0)</f>
        <v>0</v>
      </c>
      <c r="BD40" s="12">
        <f>IF($H40=3,IF(OR($F40="DDV",$F40="DDG",$F40="DD"),'Fleet Tech - Tech'!K$3,IF($F40="CL",'Fleet Tech - Tech'!K$4,IF($F40="CA",'Fleet Tech - Tech'!K$5,IF($F40="BC",'Fleet Tech - Tech'!K$6,IF($F40="BB",'Fleet Tech - Tech'!K$7,IF($F40="CVL",'Fleet Tech - Tech'!K$8,IF($F40="CV",'Fleet Tech - Tech'!K$9,IF($F40="SS",'Fleet Tech - Tech'!K$10,IF($F40="BBV",'Fleet Tech - Tech'!K$11,IF($F40="CB",'Fleet Tech - Tech'!K$15,IF($F40="AE",'Fleet Tech - Tech'!K$16,IF($F40="IX",'Fleet Tech - Tech'!K$17,IF($F40="BM",'Fleet Tech - Tech'!K$13,IF($F40="AR",'Fleet Tech - Tech'!K$12,IF($F40="SSV",'Fleet Tech - Tech'!K$14,"nil"))))))))))))))),0)</f>
        <v>0</v>
      </c>
      <c r="BE40" s="12">
        <f>IF($H40=3,IF(OR($F40="DDV",$F40="DDG",$F40="DD"),'Fleet Tech - Tech'!L$3,IF($F40="CL",'Fleet Tech - Tech'!L$4,IF($F40="CA",'Fleet Tech - Tech'!L$5,IF($F40="BC",'Fleet Tech - Tech'!L$6,IF($F40="BB",'Fleet Tech - Tech'!L$7,IF($F40="CVL",'Fleet Tech - Tech'!L$8,IF($F40="CV",'Fleet Tech - Tech'!L$9,IF($F40="SS",'Fleet Tech - Tech'!L$10,IF($F40="BBV",'Fleet Tech - Tech'!L$11,IF($F40="CB",'Fleet Tech - Tech'!L$15,IF($F40="AE",'Fleet Tech - Tech'!L$16,IF($F40="IX",'Fleet Tech - Tech'!L$17,IF($F40="BM",'Fleet Tech - Tech'!L$13,IF($F40="AR",'Fleet Tech - Tech'!L$12,IF($F40="SSV",'Fleet Tech - Tech'!L$14,"nil"))))))))))))))),0)</f>
        <v>4</v>
      </c>
      <c r="BF40" s="12">
        <f>IF($H40=3,IF(OR($F40="DDV",$F40="DDG",$F40="DD"),'Fleet Tech - Tech'!M$3,IF($F40="CL",'Fleet Tech - Tech'!M$4,IF($F40="CA",'Fleet Tech - Tech'!M$5,IF($F40="BC",'Fleet Tech - Tech'!M$6,IF($F40="BB",'Fleet Tech - Tech'!M$7,IF($F40="CVL",'Fleet Tech - Tech'!M$8,IF($F40="CV",'Fleet Tech - Tech'!M$9,IF($F40="SS",'Fleet Tech - Tech'!M$10,IF($F40="BBV",'Fleet Tech - Tech'!M$11,IF($F40="CB",'Fleet Tech - Tech'!M$15,IF($F40="AE",'Fleet Tech - Tech'!M$16,IF($F40="IX",'Fleet Tech - Tech'!M$17,IF($F40="BM",'Fleet Tech - Tech'!M$13,IF($F40="AR",'Fleet Tech - Tech'!M$12,IF($F40="SSV",'Fleet Tech - Tech'!M$14,"nil"))))))))))))))),0)</f>
        <v>0</v>
      </c>
      <c r="BG40" s="12">
        <f>IF($H40=3,IF(OR($F40="DDV",$F40="DDG",$F40="DD"),'Fleet Tech - Tech'!N$3,IF($F40="CL",'Fleet Tech - Tech'!N$4,IF($F40="CA",'Fleet Tech - Tech'!N$5,IF($F40="BC",'Fleet Tech - Tech'!N$6,IF($F40="BB",'Fleet Tech - Tech'!N$7,IF($F40="CVL",'Fleet Tech - Tech'!N$8,IF($F40="CV",'Fleet Tech - Tech'!N$9,IF($F40="SS",'Fleet Tech - Tech'!N$10,IF($F40="BBV",'Fleet Tech - Tech'!N$11,IF($F40="CB",'Fleet Tech - Tech'!N$15,IF($F40="AE",'Fleet Tech - Tech'!N$16,IF($F40="IX",'Fleet Tech - Tech'!N$17,IF($F40="BM",'Fleet Tech - Tech'!N$13,IF($F40="AR",'Fleet Tech - Tech'!N$12,IF($F40="SSV",'Fleet Tech - Tech'!N$14,"nil"))))))))))))))),0)</f>
        <v>2</v>
      </c>
      <c r="BH40" s="28"/>
      <c r="BI40" s="12">
        <v>6302</v>
      </c>
      <c r="BJ40" s="12">
        <v>0</v>
      </c>
      <c r="BK40" s="12">
        <v>284</v>
      </c>
      <c r="BL40" s="12">
        <v>0</v>
      </c>
      <c r="BM40" s="12">
        <v>66</v>
      </c>
      <c r="BN40" s="12">
        <v>0</v>
      </c>
      <c r="BO40" s="12">
        <v>354</v>
      </c>
      <c r="BP40" s="12">
        <v>0</v>
      </c>
      <c r="BQ40" s="12">
        <v>33</v>
      </c>
      <c r="BR40" s="12">
        <v>12</v>
      </c>
      <c r="BS40" s="12">
        <v>106</v>
      </c>
      <c r="BT40" s="12">
        <v>48</v>
      </c>
      <c r="BU40" s="12">
        <v>80</v>
      </c>
      <c r="BV40" s="12">
        <v>290</v>
      </c>
      <c r="BW40" s="28"/>
      <c r="BX40" s="12">
        <v>-1</v>
      </c>
      <c r="BY40" s="12">
        <v>-1</v>
      </c>
      <c r="BZ40" s="12">
        <v>-1</v>
      </c>
      <c r="CA40" s="12">
        <v>-1</v>
      </c>
      <c r="CB40" s="12">
        <v>-1</v>
      </c>
      <c r="CC40" s="12">
        <v>-1</v>
      </c>
      <c r="CD40" s="12">
        <v>-1</v>
      </c>
      <c r="CE40" s="12">
        <v>-1</v>
      </c>
      <c r="CF40" s="12">
        <v>-1</v>
      </c>
      <c r="CG40" s="12">
        <v>-1</v>
      </c>
      <c r="CH40" s="12">
        <v>4</v>
      </c>
      <c r="CI40" s="12">
        <v>10</v>
      </c>
      <c r="CJ40" s="47"/>
      <c r="CK40" s="48">
        <f>IF(BX40=5,320,IF(BX40=4,195,IF(BX40=3,132,IF(BX40=2,90,IF(BX40=1,58,IF(BX40=-1,0,35))))))</f>
        <v>0</v>
      </c>
      <c r="CL40" s="48">
        <f>IF(BX40=5,20,IF(BX40=4,15,IF(BX40=3,12,IF(BX40=2,10,IF(BX40=1,8,IF(BX40=-1,0,5))))))</f>
        <v>0</v>
      </c>
      <c r="CM40" s="48">
        <f>IF(BZ40=5,320,IF(BZ40=4,195,IF(BZ40=3,132,IF(BZ40=2,90,IF(BZ40=1,58,IF(BZ40=-1,0,35))))))</f>
        <v>0</v>
      </c>
      <c r="CN40" s="48">
        <f>IF(BZ40=5,20,IF(BZ40=4,15,IF(BZ40=3,12,IF(BZ40=2,10,IF(BZ40=1,8,IF(BZ40=-1,0,5))))))</f>
        <v>0</v>
      </c>
      <c r="CO40" s="48">
        <f>IF(CB40=5,320,IF(CB40=4,195,IF(CB40=3,132,IF(CB40=2,90,IF(CB40=1,58,IF(CB40=-1,0,35))))))</f>
        <v>0</v>
      </c>
      <c r="CP40" s="48">
        <f>IF(CB40=5,20,IF(CB40=4,15,IF(CB40=3,12,IF(CB40=2,10,IF(CB40=1,8,IF(CB40=-1,0,5))))))</f>
        <v>0</v>
      </c>
      <c r="CQ40" s="48">
        <f>IF(CD40=5,320,IF(CD40=4,195,IF(CD40=3,132,IF(CD40=2,90,IF(CD40=1,58,IF(CD40=-1,0,35))))))</f>
        <v>0</v>
      </c>
      <c r="CR40" s="48">
        <f>IF(CD40=5,20,IF(CD40=4,15,IF(CD40=3,12,IF(CD40=2,10,IF(CD40=1,8,IF(CD40=-1,0,5))))))</f>
        <v>0</v>
      </c>
      <c r="CS40" s="48">
        <f>IF(CF40=5,320,IF(CF40=4,195,IF(CF40=3,132,IF(CF40=2,90,IF(CF40=1,58,IF(CF40=-1,0,35))))))</f>
        <v>0</v>
      </c>
      <c r="CT40" s="48">
        <f>IF(CF40=5,20,IF(CF40=4,15,IF(CF40=3,12,IF(CF40=2,10,IF(CF40=1,8,IF(CF40=-1,0,5))))))</f>
        <v>0</v>
      </c>
      <c r="CU40" s="48">
        <f>IF(CH40=5,320,IF(CH40=4,195,IF(CH40=3,132,IF(CH40=2,90,IF(CH40=1,58,IF(CH40=-1,0,35))))))</f>
        <v>195</v>
      </c>
      <c r="CV40" s="48">
        <f>IF(CH40=5,20,IF(CH40=4,15,IF(CH40=3,12,IF(CH40=2,10,IF(CH40=1,8,IF(CH40=-1,0,5))))))</f>
        <v>15</v>
      </c>
      <c r="CW40" s="48">
        <f>IF(BY40&gt;10,(BY40/10)-ROUNDDOWN(BY40/10,0),0)+IF(CA40&gt;10,(CA40/10)-ROUNDDOWN(CA40/10,0),0)+IF(CC40&gt;10,(CC40/10)-ROUNDDOWN(CC40/10,0),0)+IF(CE40&gt;10,(CE40/10)-ROUNDDOWN(CE40/10,0),0)+IF(CG40&gt;10,(CG40/10)-ROUNDDOWN(CG40/10,0),0)+IF(CI40&gt;10,(CI40/10)-ROUNDDOWN(CI40/10,0),0)</f>
        <v>0</v>
      </c>
      <c r="CX40" s="48">
        <f>1+(CW40/10)</f>
        <v>1</v>
      </c>
    </row>
    <row r="41" ht="20.05" customHeight="1">
      <c r="A41" t="s" s="43">
        <v>318</v>
      </c>
      <c r="B41" s="49"/>
      <c r="C41" t="s" s="45">
        <v>73</v>
      </c>
      <c r="D41" s="13">
        <v>7</v>
      </c>
      <c r="E41" t="s" s="15">
        <v>240</v>
      </c>
      <c r="F41" t="s" s="15">
        <v>241</v>
      </c>
      <c r="G41" t="s" s="15">
        <v>282</v>
      </c>
      <c r="H41" s="12">
        <v>2</v>
      </c>
      <c r="I41" t="s" s="15">
        <v>319</v>
      </c>
      <c r="J41" s="12">
        <v>97</v>
      </c>
      <c r="K41" t="s" s="14">
        <v>264</v>
      </c>
      <c r="L41" t="s" s="15">
        <v>237</v>
      </c>
      <c r="M41" t="s" s="15">
        <v>19</v>
      </c>
      <c r="N41" s="46">
        <f>ROUND((SUM(AA41,T41:Y41,AC41:AE41,Z41*10)-AB41*15)*(IF(K41="Heavy",0.15,IF(K41="Medium",0,IF(K41="Light",-0.15,10)))+1),0)</f>
        <v>1048</v>
      </c>
      <c r="O41" s="46">
        <v>4028</v>
      </c>
      <c r="P41" s="46">
        <f>ROUNDDOWN((BI41+AU41+AG41)/5,0)+(BJ41+AV41+AH41)+(BN41+AZ41+AL41)+(BO41+BA41+AM41)+(BK41+AW41+AI41)+(BS41+BE41+AQ41)+(BL41+AX41+AJ41)+(BQ41+BC41+AO41)+(2*((BT41+BF41+AR41)+(BU41+BG41+AS41)))+(CK41+CM41+CO41+CQ41+CS41+CU41)+(CL41*BY41)+(CN41*CA41)+(CP41+CC41)+(CR41+CE41)+(CT41+CG41)+(CV41+CI41)+BV41</f>
        <v>4282</v>
      </c>
      <c r="Q41" s="46">
        <f>ROUNDDOWN(((S41/5)+T41+X41+Y41+U41+AC41+V41+AA41+(2*(AD41+AE41))+CK41+CM41+CO41+CQ41+CS41+CU41+(CL41*BX41)+(CN41*BZ41)+(CP41*CB41)+(CR41*CD41)+(CT41*CF41)+(CV41*CH41))*CX41,0)</f>
        <v>3921</v>
      </c>
      <c r="R41" s="46">
        <f>ROUNDDOWN(AVERAGE(P41:Q41),0)</f>
        <v>4101</v>
      </c>
      <c r="S41" s="12">
        <f>AG41+AU41+BI41</f>
        <v>7142</v>
      </c>
      <c r="T41" s="12">
        <f>AH41+AV41+BJ41</f>
        <v>0</v>
      </c>
      <c r="U41" s="12">
        <f>AI41+AW41+BK41</f>
        <v>275</v>
      </c>
      <c r="V41" s="12">
        <f>AJ41+AX41+BL41</f>
        <v>0</v>
      </c>
      <c r="W41" s="12">
        <f>AK41+AY41+BM41</f>
        <v>0</v>
      </c>
      <c r="X41" s="12">
        <f>AL41+AZ41+BN41</f>
        <v>0</v>
      </c>
      <c r="Y41" s="12">
        <f>AM41+BA41+BO41</f>
        <v>609</v>
      </c>
      <c r="Z41" s="12">
        <f>AN41+BB41+BP41</f>
        <v>0</v>
      </c>
      <c r="AA41" s="12">
        <f>AO41+BC41+BQ41</f>
        <v>34</v>
      </c>
      <c r="AB41" s="12">
        <f>AP41+BD41+BR41</f>
        <v>17</v>
      </c>
      <c r="AC41" s="12">
        <f>AQ41+BE41+BS41</f>
        <v>103</v>
      </c>
      <c r="AD41" s="12">
        <f>AR41+BF41+BT41</f>
        <v>66</v>
      </c>
      <c r="AE41" s="12">
        <f>AS41+BG41+BU41</f>
        <v>79</v>
      </c>
      <c r="AF41" s="28"/>
      <c r="AG41" s="12">
        <v>110</v>
      </c>
      <c r="AH41" s="12">
        <v>0</v>
      </c>
      <c r="AI41" s="12">
        <v>0</v>
      </c>
      <c r="AJ41" s="12">
        <v>0</v>
      </c>
      <c r="AK41" s="12">
        <v>0</v>
      </c>
      <c r="AL41" s="12">
        <v>0</v>
      </c>
      <c r="AM41" s="12">
        <v>254</v>
      </c>
      <c r="AN41" s="12">
        <v>0</v>
      </c>
      <c r="AO41" s="12">
        <v>0</v>
      </c>
      <c r="AP41" s="12">
        <v>0</v>
      </c>
      <c r="AQ41" s="12">
        <v>0</v>
      </c>
      <c r="AR41" s="12">
        <v>20</v>
      </c>
      <c r="AS41" s="12">
        <v>0</v>
      </c>
      <c r="AT41" s="28"/>
      <c r="AU41" s="12">
        <f>IF($H41=3,IF(OR($F41="DDV",$F41="DDG",$F41="DD"),'Fleet Tech - Tech'!B$3,IF($F41="CL",'Fleet Tech - Tech'!B$4,IF($F41="CA",'Fleet Tech - Tech'!B$5,IF($F41="BC",'Fleet Tech - Tech'!B$6,IF($F41="BB",'Fleet Tech - Tech'!B$7,IF($F41="CVL",'Fleet Tech - Tech'!B$8,IF($F41="CV",'Fleet Tech - Tech'!B$9,IF($F41="SS",'Fleet Tech - Tech'!B$10,IF($F41="BBV",'Fleet Tech - Tech'!B$11,IF($F41="CB",'Fleet Tech - Tech'!B$15,IF($F41="AE",'Fleet Tech - Tech'!B$16,IF($F41="IX",'Fleet Tech - Tech'!B$17,IF($F41="BM",'Fleet Tech - Tech'!B$13,IF($F41="AR",'Fleet Tech - Tech'!B$12,IF($F41="SSV",'Fleet Tech - Tech'!B$14,"nil"))))))))))))))),0)</f>
        <v>0</v>
      </c>
      <c r="AV41" s="12">
        <f>IF($H41=3,IF(OR($F41="DDV",$F41="DDG",$F41="DD"),'Fleet Tech - Tech'!C$3,IF($F41="CL",'Fleet Tech - Tech'!C$4,IF($F41="CA",'Fleet Tech - Tech'!C$5,IF($F41="BC",'Fleet Tech - Tech'!C$6,IF($F41="BB",'Fleet Tech - Tech'!C$7,IF($F41="CVL",'Fleet Tech - Tech'!C$8,IF($F41="CV",'Fleet Tech - Tech'!C$9,IF($F41="SS",'Fleet Tech - Tech'!C$10,IF($F41="BBV",'Fleet Tech - Tech'!C$11,IF($F41="CB",'Fleet Tech - Tech'!C$15,IF($F41="AE",'Fleet Tech - Tech'!C$16,IF($F41="IX",'Fleet Tech - Tech'!C$17,IF($F41="BM",'Fleet Tech - Tech'!C$13,IF($F41="AR",'Fleet Tech - Tech'!C$12,IF($F41="SSV",'Fleet Tech - Tech'!C$14,"nil"))))))))))))))),0)</f>
        <v>0</v>
      </c>
      <c r="AW41" s="12">
        <f>IF($H41=3,IF(OR($F41="DDV",$F41="DDG",$F41="DD"),'Fleet Tech - Tech'!D$3,IF($F41="CL",'Fleet Tech - Tech'!D$4,IF($F41="CA",'Fleet Tech - Tech'!D$5,IF($F41="BC",'Fleet Tech - Tech'!D$6,IF($F41="BB",'Fleet Tech - Tech'!D$7,IF($F41="CVL",'Fleet Tech - Tech'!D$8,IF($F41="CV",'Fleet Tech - Tech'!D$9,IF($F41="SS",'Fleet Tech - Tech'!D$10,IF($F41="BBV",'Fleet Tech - Tech'!D$11,IF($F41="CB",'Fleet Tech - Tech'!D$15,IF($F41="AE",'Fleet Tech - Tech'!D$16,IF($F41="IX",'Fleet Tech - Tech'!D$17,IF($F41="BM",'Fleet Tech - Tech'!D$13,IF($F41="AR",'Fleet Tech - Tech'!D$12,IF($F41="SSV",'Fleet Tech - Tech'!D$14,"nil"))))))))))))))),0)</f>
        <v>0</v>
      </c>
      <c r="AX41" s="12">
        <f>IF($H41=3,IF(OR($F41="DDV",$F41="DDG",$F41="DD"),'Fleet Tech - Tech'!E$3,IF($F41="CL",'Fleet Tech - Tech'!E$4,IF($F41="CA",'Fleet Tech - Tech'!E$5,IF($F41="BC",'Fleet Tech - Tech'!E$6,IF($F41="BB",'Fleet Tech - Tech'!E$7,IF($F41="CVL",'Fleet Tech - Tech'!E$8,IF($F41="CV",'Fleet Tech - Tech'!E$9,IF($F41="SS",'Fleet Tech - Tech'!E$10,IF($F41="BBV",'Fleet Tech - Tech'!E$11,IF($F41="CB",'Fleet Tech - Tech'!E$15,IF($F41="AE",'Fleet Tech - Tech'!E$16,IF($F41="IX",'Fleet Tech - Tech'!E$17,IF($F41="BM",'Fleet Tech - Tech'!E$13,IF($F41="AR",'Fleet Tech - Tech'!E$12,IF($F41="SSV",'Fleet Tech - Tech'!E$14,"nil"))))))))))))))),0)</f>
        <v>0</v>
      </c>
      <c r="AY41" s="12">
        <f>IF($H41=3,IF(OR($F41="DDV",$F41="DDG",$F41="DD"),'Fleet Tech - Tech'!F$3,IF($F41="CL",'Fleet Tech - Tech'!F$4,IF($F41="CA",'Fleet Tech - Tech'!F$5,IF($F41="BC",'Fleet Tech - Tech'!F$6,IF($F41="BB",'Fleet Tech - Tech'!F$7,IF($F41="CVL",'Fleet Tech - Tech'!F$8,IF($F41="CV",'Fleet Tech - Tech'!F$9,IF($F41="SS",'Fleet Tech - Tech'!F$10,IF($F41="BBV",'Fleet Tech - Tech'!F$11,IF($F41="CB",'Fleet Tech - Tech'!F$15,IF($F41="AE",'Fleet Tech - Tech'!F$16,IF($F41="IX",'Fleet Tech - Tech'!F$17,IF($F41="BM",'Fleet Tech - Tech'!F$13,IF($F41="AR",'Fleet Tech - Tech'!F$12,IF($F41="SSV",'Fleet Tech - Tech'!F$14,"nil"))))))))))))))),0)</f>
        <v>0</v>
      </c>
      <c r="AZ41" s="12">
        <f>IF($H41=3,IF(OR($F41="DDV",$F41="DDG",$F41="DD"),'Fleet Tech - Tech'!G$3,IF($F41="CL",'Fleet Tech - Tech'!G$4,IF($F41="CA",'Fleet Tech - Tech'!G$5,IF($F41="BC",'Fleet Tech - Tech'!G$6,IF($F41="BB",'Fleet Tech - Tech'!G$7,IF($F41="CVL",'Fleet Tech - Tech'!G$8,IF($F41="CV",'Fleet Tech - Tech'!G$9,IF($F41="SS",'Fleet Tech - Tech'!G$10,IF($F41="BBV",'Fleet Tech - Tech'!G$11,IF($F41="CB",'Fleet Tech - Tech'!G$15,IF($F41="AE",'Fleet Tech - Tech'!G$16,IF($F41="IX",'Fleet Tech - Tech'!G$17,IF($F41="BM",'Fleet Tech - Tech'!G$13,IF($F41="AR",'Fleet Tech - Tech'!G$12,IF($F41="SSV",'Fleet Tech - Tech'!G$14,"nil"))))))))))))))),0)</f>
        <v>0</v>
      </c>
      <c r="BA41" s="12">
        <f>IF($H41=3,IF(OR($F41="DDV",$F41="DDG",$F41="DD"),'Fleet Tech - Tech'!H$3,IF($F41="CL",'Fleet Tech - Tech'!H$4,IF($F41="CA",'Fleet Tech - Tech'!H$5,IF($F41="BC",'Fleet Tech - Tech'!H$6,IF($F41="BB",'Fleet Tech - Tech'!H$7,IF($F41="CVL",'Fleet Tech - Tech'!H$8,IF($F41="CV",'Fleet Tech - Tech'!H$9,IF($F41="SS",'Fleet Tech - Tech'!H$10,IF($F41="BBV",'Fleet Tech - Tech'!H$11,IF($F41="CB",'Fleet Tech - Tech'!H$15,IF($F41="AE",'Fleet Tech - Tech'!H$16,IF($F41="IX",'Fleet Tech - Tech'!H$17,IF($F41="BM",'Fleet Tech - Tech'!H$13,IF($F41="AR",'Fleet Tech - Tech'!H$12,IF($F41="SSV",'Fleet Tech - Tech'!H$14,"nil"))))))))))))))),0)</f>
        <v>0</v>
      </c>
      <c r="BB41" s="12">
        <f>IF($H41=3,IF(OR($F41="DDV",$F41="DDG",$F41="DD"),'Fleet Tech - Tech'!I$3,IF($F41="CL",'Fleet Tech - Tech'!I$4,IF($F41="CA",'Fleet Tech - Tech'!I$5,IF($F41="BC",'Fleet Tech - Tech'!I$6,IF($F41="BB",'Fleet Tech - Tech'!I$7,IF($F41="CVL",'Fleet Tech - Tech'!I$8,IF($F41="CV",'Fleet Tech - Tech'!I$9,IF($F41="SS",'Fleet Tech - Tech'!I$10,IF($F41="BBV",'Fleet Tech - Tech'!I$11,IF($F41="CB",'Fleet Tech - Tech'!I$15,IF($F41="AE",'Fleet Tech - Tech'!I$16,IF($F41="IX",'Fleet Tech - Tech'!I$17,IF($F41="BM",'Fleet Tech - Tech'!I$13,IF($F41="AR",'Fleet Tech - Tech'!I$12,IF($F41="SSV",'Fleet Tech - Tech'!I$14,"nil"))))))))))))))),0)</f>
        <v>0</v>
      </c>
      <c r="BC41" s="12">
        <f>IF($H41=3,IF(OR($F41="DDV",$F41="DDG",$F41="DD"),'Fleet Tech - Tech'!J$3,IF($F41="CL",'Fleet Tech - Tech'!J$4,IF($F41="CA",'Fleet Tech - Tech'!J$5,IF($F41="BC",'Fleet Tech - Tech'!J$6,IF($F41="BB",'Fleet Tech - Tech'!J$7,IF($F41="CVL",'Fleet Tech - Tech'!J$8,IF($F41="CV",'Fleet Tech - Tech'!J$9,IF($F41="SS",'Fleet Tech - Tech'!J$10,IF($F41="BBV",'Fleet Tech - Tech'!J$11,IF($F41="CB",'Fleet Tech - Tech'!J$15,IF($F41="AE",'Fleet Tech - Tech'!J$16,IF($F41="IX",'Fleet Tech - Tech'!J$17,IF($F41="BM",'Fleet Tech - Tech'!J$13,IF($F41="AR",'Fleet Tech - Tech'!J$12,IF($F41="SSV",'Fleet Tech - Tech'!J$14,"nil"))))))))))))))),0)</f>
        <v>0</v>
      </c>
      <c r="BD41" s="12">
        <f>IF($H41=3,IF(OR($F41="DDV",$F41="DDG",$F41="DD"),'Fleet Tech - Tech'!K$3,IF($F41="CL",'Fleet Tech - Tech'!K$4,IF($F41="CA",'Fleet Tech - Tech'!K$5,IF($F41="BC",'Fleet Tech - Tech'!K$6,IF($F41="BB",'Fleet Tech - Tech'!K$7,IF($F41="CVL",'Fleet Tech - Tech'!K$8,IF($F41="CV",'Fleet Tech - Tech'!K$9,IF($F41="SS",'Fleet Tech - Tech'!K$10,IF($F41="BBV",'Fleet Tech - Tech'!K$11,IF($F41="CB",'Fleet Tech - Tech'!K$15,IF($F41="AE",'Fleet Tech - Tech'!K$16,IF($F41="IX",'Fleet Tech - Tech'!K$17,IF($F41="BM",'Fleet Tech - Tech'!K$13,IF($F41="AR",'Fleet Tech - Tech'!K$12,IF($F41="SSV",'Fleet Tech - Tech'!K$14,"nil"))))))))))))))),0)</f>
        <v>0</v>
      </c>
      <c r="BE41" s="12">
        <f>IF($H41=3,IF(OR($F41="DDV",$F41="DDG",$F41="DD"),'Fleet Tech - Tech'!L$3,IF($F41="CL",'Fleet Tech - Tech'!L$4,IF($F41="CA",'Fleet Tech - Tech'!L$5,IF($F41="BC",'Fleet Tech - Tech'!L$6,IF($F41="BB",'Fleet Tech - Tech'!L$7,IF($F41="CVL",'Fleet Tech - Tech'!L$8,IF($F41="CV",'Fleet Tech - Tech'!L$9,IF($F41="SS",'Fleet Tech - Tech'!L$10,IF($F41="BBV",'Fleet Tech - Tech'!L$11,IF($F41="CB",'Fleet Tech - Tech'!L$15,IF($F41="AE",'Fleet Tech - Tech'!L$16,IF($F41="IX",'Fleet Tech - Tech'!L$17,IF($F41="BM",'Fleet Tech - Tech'!L$13,IF($F41="AR",'Fleet Tech - Tech'!L$12,IF($F41="SSV",'Fleet Tech - Tech'!L$14,"nil"))))))))))))))),0)</f>
        <v>0</v>
      </c>
      <c r="BF41" s="12">
        <f>IF($H41=3,IF(OR($F41="DDV",$F41="DDG",$F41="DD"),'Fleet Tech - Tech'!M$3,IF($F41="CL",'Fleet Tech - Tech'!M$4,IF($F41="CA",'Fleet Tech - Tech'!M$5,IF($F41="BC",'Fleet Tech - Tech'!M$6,IF($F41="BB",'Fleet Tech - Tech'!M$7,IF($F41="CVL",'Fleet Tech - Tech'!M$8,IF($F41="CV",'Fleet Tech - Tech'!M$9,IF($F41="SS",'Fleet Tech - Tech'!M$10,IF($F41="BBV",'Fleet Tech - Tech'!M$11,IF($F41="CB",'Fleet Tech - Tech'!M$15,IF($F41="AE",'Fleet Tech - Tech'!M$16,IF($F41="IX",'Fleet Tech - Tech'!M$17,IF($F41="BM",'Fleet Tech - Tech'!M$13,IF($F41="AR",'Fleet Tech - Tech'!M$12,IF($F41="SSV",'Fleet Tech - Tech'!M$14,"nil"))))))))))))))),0)</f>
        <v>0</v>
      </c>
      <c r="BG41" s="12">
        <f>IF($H41=3,IF(OR($F41="DDV",$F41="DDG",$F41="DD"),'Fleet Tech - Tech'!N$3,IF($F41="CL",'Fleet Tech - Tech'!N$4,IF($F41="CA",'Fleet Tech - Tech'!N$5,IF($F41="BC",'Fleet Tech - Tech'!N$6,IF($F41="BB",'Fleet Tech - Tech'!N$7,IF($F41="CVL",'Fleet Tech - Tech'!N$8,IF($F41="CV",'Fleet Tech - Tech'!N$9,IF($F41="SS",'Fleet Tech - Tech'!N$10,IF($F41="BBV",'Fleet Tech - Tech'!N$11,IF($F41="CB",'Fleet Tech - Tech'!N$15,IF($F41="AE",'Fleet Tech - Tech'!N$16,IF($F41="IX",'Fleet Tech - Tech'!N$17,IF($F41="BM",'Fleet Tech - Tech'!N$13,IF($F41="AR",'Fleet Tech - Tech'!N$12,IF($F41="SSV",'Fleet Tech - Tech'!N$14,"nil"))))))))))))))),0)</f>
        <v>0</v>
      </c>
      <c r="BH41" s="28"/>
      <c r="BI41" s="12">
        <v>7032</v>
      </c>
      <c r="BJ41" s="12">
        <v>0</v>
      </c>
      <c r="BK41" s="12">
        <v>275</v>
      </c>
      <c r="BL41" s="12">
        <v>0</v>
      </c>
      <c r="BM41" s="12">
        <v>0</v>
      </c>
      <c r="BN41" s="12">
        <v>0</v>
      </c>
      <c r="BO41" s="12">
        <v>355</v>
      </c>
      <c r="BP41" s="12">
        <v>0</v>
      </c>
      <c r="BQ41" s="12">
        <v>34</v>
      </c>
      <c r="BR41" s="12">
        <v>17</v>
      </c>
      <c r="BS41" s="12">
        <v>103</v>
      </c>
      <c r="BT41" s="12">
        <v>46</v>
      </c>
      <c r="BU41" s="12">
        <v>79</v>
      </c>
      <c r="BV41" s="12">
        <v>335</v>
      </c>
      <c r="BW41" s="28"/>
      <c r="BX41" s="12">
        <v>3</v>
      </c>
      <c r="BY41" s="12">
        <v>7</v>
      </c>
      <c r="BZ41" s="12">
        <v>3</v>
      </c>
      <c r="CA41" s="12">
        <v>10</v>
      </c>
      <c r="CB41" s="12">
        <v>3</v>
      </c>
      <c r="CC41" s="12">
        <v>10</v>
      </c>
      <c r="CD41" s="12">
        <v>4</v>
      </c>
      <c r="CE41" s="12">
        <v>6</v>
      </c>
      <c r="CF41" s="12">
        <v>4</v>
      </c>
      <c r="CG41" s="12">
        <v>6</v>
      </c>
      <c r="CH41" s="12">
        <v>3</v>
      </c>
      <c r="CI41" s="12">
        <v>10</v>
      </c>
      <c r="CJ41" s="47"/>
      <c r="CK41" s="48">
        <f>IF(BX41=5,320,IF(BX41=4,195,IF(BX41=3,132,IF(BX41=2,90,IF(BX41=1,58,IF(BX41=-1,0,35))))))</f>
        <v>132</v>
      </c>
      <c r="CL41" s="48">
        <f>IF(BX41=5,20,IF(BX41=4,15,IF(BX41=3,12,IF(BX41=2,10,IF(BX41=1,8,IF(BX41=-1,0,5))))))</f>
        <v>12</v>
      </c>
      <c r="CM41" s="48">
        <f>IF(BZ41=5,320,IF(BZ41=4,195,IF(BZ41=3,132,IF(BZ41=2,90,IF(BZ41=1,58,IF(BZ41=-1,0,35))))))</f>
        <v>132</v>
      </c>
      <c r="CN41" s="48">
        <f>IF(BZ41=5,20,IF(BZ41=4,15,IF(BZ41=3,12,IF(BZ41=2,10,IF(BZ41=1,8,IF(BZ41=-1,0,5))))))</f>
        <v>12</v>
      </c>
      <c r="CO41" s="48">
        <f>IF(CB41=5,320,IF(CB41=4,195,IF(CB41=3,132,IF(CB41=2,90,IF(CB41=1,58,IF(CB41=-1,0,35))))))</f>
        <v>132</v>
      </c>
      <c r="CP41" s="48">
        <f>IF(CB41=5,20,IF(CB41=4,15,IF(CB41=3,12,IF(CB41=2,10,IF(CB41=1,8,IF(CB41=-1,0,5))))))</f>
        <v>12</v>
      </c>
      <c r="CQ41" s="48">
        <f>IF(CD41=5,320,IF(CD41=4,195,IF(CD41=3,132,IF(CD41=2,90,IF(CD41=1,58,IF(CD41=-1,0,35))))))</f>
        <v>195</v>
      </c>
      <c r="CR41" s="48">
        <f>IF(CD41=5,20,IF(CD41=4,15,IF(CD41=3,12,IF(CD41=2,10,IF(CD41=1,8,IF(CD41=-1,0,5))))))</f>
        <v>15</v>
      </c>
      <c r="CS41" s="48">
        <f>IF(CF41=5,320,IF(CF41=4,195,IF(CF41=3,132,IF(CF41=2,90,IF(CF41=1,58,IF(CF41=-1,0,35))))))</f>
        <v>195</v>
      </c>
      <c r="CT41" s="48">
        <f>IF(CF41=5,20,IF(CF41=4,15,IF(CF41=3,12,IF(CF41=2,10,IF(CF41=1,8,IF(CF41=-1,0,5))))))</f>
        <v>15</v>
      </c>
      <c r="CU41" s="48">
        <f>IF(CH41=5,320,IF(CH41=4,195,IF(CH41=3,132,IF(CH41=2,90,IF(CH41=1,58,IF(CH41=-1,0,35))))))</f>
        <v>132</v>
      </c>
      <c r="CV41" s="48">
        <f>IF(CH41=5,20,IF(CH41=4,15,IF(CH41=3,12,IF(CH41=2,10,IF(CH41=1,8,IF(CH41=-1,0,5))))))</f>
        <v>12</v>
      </c>
      <c r="CW41" s="48">
        <f>IF(BY41&gt;10,(BY41/10)-ROUNDDOWN(BY41/10,0),0)+IF(CA41&gt;10,(CA41/10)-ROUNDDOWN(CA41/10,0),0)+IF(CC41&gt;10,(CC41/10)-ROUNDDOWN(CC41/10,0),0)+IF(CE41&gt;10,(CE41/10)-ROUNDDOWN(CE41/10,0),0)+IF(CG41&gt;10,(CG41/10)-ROUNDDOWN(CG41/10,0),0)+IF(CI41&gt;10,(CI41/10)-ROUNDDOWN(CI41/10,0),0)</f>
        <v>0</v>
      </c>
      <c r="CX41" s="48">
        <f>1+(CW41/10)</f>
        <v>1</v>
      </c>
    </row>
    <row r="42" ht="20.05" customHeight="1">
      <c r="A42" t="s" s="43">
        <v>320</v>
      </c>
      <c r="B42" s="49"/>
      <c r="C42" t="s" s="45">
        <v>73</v>
      </c>
      <c r="D42" s="13">
        <v>7</v>
      </c>
      <c r="E42" t="s" s="15">
        <v>258</v>
      </c>
      <c r="F42" t="s" s="15">
        <v>268</v>
      </c>
      <c r="G42" t="s" s="15">
        <v>314</v>
      </c>
      <c r="H42" s="12">
        <v>3</v>
      </c>
      <c r="I42" t="s" s="15">
        <v>277</v>
      </c>
      <c r="J42" s="12">
        <v>95</v>
      </c>
      <c r="K42" t="s" s="14">
        <v>236</v>
      </c>
      <c r="L42" t="s" s="15">
        <v>237</v>
      </c>
      <c r="M42" t="s" s="15">
        <v>19</v>
      </c>
      <c r="N42" s="46">
        <f>ROUND((SUM(AA42,T42:Y42,AC42:AE42,Z42*10)-AB42*15)*(IF(K42="Heavy",0.15,IF(K42="Medium",0,IF(K42="Light",-0.15,10)))+1),0)</f>
        <v>812</v>
      </c>
      <c r="O42" s="46">
        <v>1893</v>
      </c>
      <c r="P42" s="46">
        <f>ROUNDDOWN((BI42+AU42+AG42)/5,0)+(BJ42+AV42+AH42)+(BN42+AZ42+AL42)+(BO42+BA42+AM42)+(BK42+AW42+AI42)+(BS42+BE42+AQ42)+(BL42+AX42+AJ42)+(BQ42+BC42+AO42)+(2*((BT42+BF42+AR42)+(BU42+BG42+AS42)))+(CK42+CM42+CO42+CQ42+CS42+CU42)+(CL42*BY42)+(CN42*CA42)+(CP42+CC42)+(CR42+CE42)+(CT42+CG42)+(CV42+CI42)+BV42</f>
        <v>2451</v>
      </c>
      <c r="Q42" s="46">
        <f>ROUNDDOWN(((S42/5)+T42+X42+Y42+U42+AC42+V42+AA42+(2*(AD42+AE42))+CK42+CM42+CO42+CQ42+CS42+CU42+(CL42*BX42)+(CN42*BZ42)+(CP42*CB42)+(CR42*CD42)+(CT42*CF42)+(CV42*CH42))*CX42,0)</f>
        <v>2185</v>
      </c>
      <c r="R42" s="46">
        <f>ROUNDDOWN(AVERAGE(P42:Q42),0)</f>
        <v>2318</v>
      </c>
      <c r="S42" s="12">
        <f>AG42+AU42+BI42</f>
        <v>2236</v>
      </c>
      <c r="T42" s="12">
        <f>AH42+AV42+BJ42</f>
        <v>68</v>
      </c>
      <c r="U42" s="12">
        <f>AI42+AW42+BK42</f>
        <v>0</v>
      </c>
      <c r="V42" s="12">
        <f>AJ42+AX42+BL42</f>
        <v>268</v>
      </c>
      <c r="W42" s="12">
        <f>AK42+AY42+BM42</f>
        <v>58</v>
      </c>
      <c r="X42" s="12">
        <f>AL42+AZ42+BN42</f>
        <v>372</v>
      </c>
      <c r="Y42" s="12">
        <f>AM42+BA42+BO42</f>
        <v>0</v>
      </c>
      <c r="Z42" s="12">
        <f>AN42+BB42+BP42</f>
        <v>2</v>
      </c>
      <c r="AA42" s="12">
        <f>AO42+BC42+BQ42</f>
        <v>14</v>
      </c>
      <c r="AB42" s="12">
        <f>AP42+BD42+BR42</f>
        <v>6</v>
      </c>
      <c r="AC42" s="12">
        <f>AQ42+BE42+BS42</f>
        <v>48</v>
      </c>
      <c r="AD42" s="12">
        <f>AR42+BF42+BT42</f>
        <v>48</v>
      </c>
      <c r="AE42" s="12">
        <f>AS42+BG42+BU42</f>
        <v>149</v>
      </c>
      <c r="AF42" s="28"/>
      <c r="AG42" s="12">
        <v>460</v>
      </c>
      <c r="AH42" s="12">
        <v>25</v>
      </c>
      <c r="AI42" s="12">
        <v>0</v>
      </c>
      <c r="AJ42" s="12">
        <v>0</v>
      </c>
      <c r="AK42" s="12">
        <v>0</v>
      </c>
      <c r="AL42" s="12">
        <v>10</v>
      </c>
      <c r="AM42" s="12">
        <v>0</v>
      </c>
      <c r="AN42" s="12">
        <v>0</v>
      </c>
      <c r="AO42" s="12">
        <v>0</v>
      </c>
      <c r="AP42" s="12">
        <v>0</v>
      </c>
      <c r="AQ42" s="12">
        <v>0</v>
      </c>
      <c r="AR42" s="12">
        <v>2</v>
      </c>
      <c r="AS42" s="12">
        <v>0</v>
      </c>
      <c r="AT42" s="28"/>
      <c r="AU42" s="12">
        <f>IF($H42=3,IF(OR($F42="DDV",$F42="DDG",$F42="DD"),'Fleet Tech - Tech'!B$3,IF($F42="CL",'Fleet Tech - Tech'!B$4,IF($F42="CA",'Fleet Tech - Tech'!B$5,IF($F42="BC",'Fleet Tech - Tech'!B$6,IF($F42="BB",'Fleet Tech - Tech'!B$7,IF($F42="CVL",'Fleet Tech - Tech'!B$8,IF($F42="CV",'Fleet Tech - Tech'!B$9,IF($F42="SS",'Fleet Tech - Tech'!B$10,IF($F42="BBV",'Fleet Tech - Tech'!B$11,IF($F42="CB",'Fleet Tech - Tech'!B$15,IF($F42="AE",'Fleet Tech - Tech'!B$16,IF($F42="IX",'Fleet Tech - Tech'!B$17,IF($F42="BM",'Fleet Tech - Tech'!B$13,IF($F42="AR",'Fleet Tech - Tech'!B$12,IF($F42="SSV",'Fleet Tech - Tech'!B$14,"nil"))))))))))))))),0)</f>
        <v>35</v>
      </c>
      <c r="AV42" s="12">
        <f>IF($H42=3,IF(OR($F42="DDV",$F42="DDG",$F42="DD"),'Fleet Tech - Tech'!C$3,IF($F42="CL",'Fleet Tech - Tech'!C$4,IF($F42="CA",'Fleet Tech - Tech'!C$5,IF($F42="BC",'Fleet Tech - Tech'!C$6,IF($F42="BB",'Fleet Tech - Tech'!C$7,IF($F42="CVL",'Fleet Tech - Tech'!C$8,IF($F42="CV",'Fleet Tech - Tech'!C$9,IF($F42="SS",'Fleet Tech - Tech'!C$10,IF($F42="BBV",'Fleet Tech - Tech'!C$11,IF($F42="CB",'Fleet Tech - Tech'!C$15,IF($F42="AE",'Fleet Tech - Tech'!C$16,IF($F42="IX",'Fleet Tech - Tech'!C$17,IF($F42="BM",'Fleet Tech - Tech'!C$13,IF($F42="AR",'Fleet Tech - Tech'!C$12,IF($F42="SSV",'Fleet Tech - Tech'!C$14,"nil"))))))))))))))),0)</f>
        <v>2</v>
      </c>
      <c r="AW42" s="12">
        <f>IF($H42=3,IF(OR($F42="DDV",$F42="DDG",$F42="DD"),'Fleet Tech - Tech'!D$3,IF($F42="CL",'Fleet Tech - Tech'!D$4,IF($F42="CA",'Fleet Tech - Tech'!D$5,IF($F42="BC",'Fleet Tech - Tech'!D$6,IF($F42="BB",'Fleet Tech - Tech'!D$7,IF($F42="CVL",'Fleet Tech - Tech'!D$8,IF($F42="CV",'Fleet Tech - Tech'!D$9,IF($F42="SS",'Fleet Tech - Tech'!D$10,IF($F42="BBV",'Fleet Tech - Tech'!D$11,IF($F42="CB",'Fleet Tech - Tech'!D$15,IF($F42="AE",'Fleet Tech - Tech'!D$16,IF($F42="IX",'Fleet Tech - Tech'!D$17,IF($F42="BM",'Fleet Tech - Tech'!D$13,IF($F42="AR",'Fleet Tech - Tech'!D$12,IF($F42="SSV",'Fleet Tech - Tech'!D$14,"nil"))))))))))))))),0)</f>
        <v>0</v>
      </c>
      <c r="AX42" s="12">
        <f>IF($H42=3,IF(OR($F42="DDV",$F42="DDG",$F42="DD"),'Fleet Tech - Tech'!E$3,IF($F42="CL",'Fleet Tech - Tech'!E$4,IF($F42="CA",'Fleet Tech - Tech'!E$5,IF($F42="BC",'Fleet Tech - Tech'!E$6,IF($F42="BB",'Fleet Tech - Tech'!E$7,IF($F42="CVL",'Fleet Tech - Tech'!E$8,IF($F42="CV",'Fleet Tech - Tech'!E$9,IF($F42="SS",'Fleet Tech - Tech'!E$10,IF($F42="BBV",'Fleet Tech - Tech'!E$11,IF($F42="CB",'Fleet Tech - Tech'!E$15,IF($F42="AE",'Fleet Tech - Tech'!E$16,IF($F42="IX",'Fleet Tech - Tech'!E$17,IF($F42="BM",'Fleet Tech - Tech'!E$13,IF($F42="AR",'Fleet Tech - Tech'!E$12,IF($F42="SSV",'Fleet Tech - Tech'!E$14,"nil"))))))))))))))),0)</f>
        <v>0</v>
      </c>
      <c r="AY42" s="12">
        <f>IF($H42=3,IF(OR($F42="DDV",$F42="DDG",$F42="DD"),'Fleet Tech - Tech'!F$3,IF($F42="CL",'Fleet Tech - Tech'!F$4,IF($F42="CA",'Fleet Tech - Tech'!F$5,IF($F42="BC",'Fleet Tech - Tech'!F$6,IF($F42="BB",'Fleet Tech - Tech'!F$7,IF($F42="CVL",'Fleet Tech - Tech'!F$8,IF($F42="CV",'Fleet Tech - Tech'!F$9,IF($F42="SS",'Fleet Tech - Tech'!F$10,IF($F42="BBV",'Fleet Tech - Tech'!F$11,IF($F42="CB",'Fleet Tech - Tech'!F$15,IF($F42="AE",'Fleet Tech - Tech'!F$16,IF($F42="IX",'Fleet Tech - Tech'!F$17,IF($F42="BM",'Fleet Tech - Tech'!F$13,IF($F42="AR",'Fleet Tech - Tech'!F$12,IF($F42="SSV",'Fleet Tech - Tech'!F$14,"nil"))))))))))))))),0)</f>
        <v>0</v>
      </c>
      <c r="AZ42" s="12">
        <f>IF($H42=3,IF(OR($F42="DDV",$F42="DDG",$F42="DD"),'Fleet Tech - Tech'!G$3,IF($F42="CL",'Fleet Tech - Tech'!G$4,IF($F42="CA",'Fleet Tech - Tech'!G$5,IF($F42="BC",'Fleet Tech - Tech'!G$6,IF($F42="BB",'Fleet Tech - Tech'!G$7,IF($F42="CVL",'Fleet Tech - Tech'!G$8,IF($F42="CV",'Fleet Tech - Tech'!G$9,IF($F42="SS",'Fleet Tech - Tech'!G$10,IF($F42="BBV",'Fleet Tech - Tech'!G$11,IF($F42="CB",'Fleet Tech - Tech'!G$15,IF($F42="AE",'Fleet Tech - Tech'!G$16,IF($F42="IX",'Fleet Tech - Tech'!G$17,IF($F42="BM",'Fleet Tech - Tech'!G$13,IF($F42="AR",'Fleet Tech - Tech'!G$12,IF($F42="SSV",'Fleet Tech - Tech'!G$14,"nil"))))))))))))))),0)</f>
        <v>9</v>
      </c>
      <c r="BA42" s="12">
        <f>IF($H42=3,IF(OR($F42="DDV",$F42="DDG",$F42="DD"),'Fleet Tech - Tech'!H$3,IF($F42="CL",'Fleet Tech - Tech'!H$4,IF($F42="CA",'Fleet Tech - Tech'!H$5,IF($F42="BC",'Fleet Tech - Tech'!H$6,IF($F42="BB",'Fleet Tech - Tech'!H$7,IF($F42="CVL",'Fleet Tech - Tech'!H$8,IF($F42="CV",'Fleet Tech - Tech'!H$9,IF($F42="SS",'Fleet Tech - Tech'!H$10,IF($F42="BBV",'Fleet Tech - Tech'!H$11,IF($F42="CB",'Fleet Tech - Tech'!H$15,IF($F42="AE",'Fleet Tech - Tech'!H$16,IF($F42="IX",'Fleet Tech - Tech'!H$17,IF($F42="BM",'Fleet Tech - Tech'!H$13,IF($F42="AR",'Fleet Tech - Tech'!H$12,IF($F42="SSV",'Fleet Tech - Tech'!H$14,"nil"))))))))))))))),0)</f>
        <v>0</v>
      </c>
      <c r="BB42" s="12">
        <f>IF($H42=3,IF(OR($F42="DDV",$F42="DDG",$F42="DD"),'Fleet Tech - Tech'!I$3,IF($F42="CL",'Fleet Tech - Tech'!I$4,IF($F42="CA",'Fleet Tech - Tech'!I$5,IF($F42="BC",'Fleet Tech - Tech'!I$6,IF($F42="BB",'Fleet Tech - Tech'!I$7,IF($F42="CVL",'Fleet Tech - Tech'!I$8,IF($F42="CV",'Fleet Tech - Tech'!I$9,IF($F42="SS",'Fleet Tech - Tech'!I$10,IF($F42="BBV",'Fleet Tech - Tech'!I$11,IF($F42="CB",'Fleet Tech - Tech'!I$15,IF($F42="AE",'Fleet Tech - Tech'!I$16,IF($F42="IX",'Fleet Tech - Tech'!I$17,IF($F42="BM",'Fleet Tech - Tech'!I$13,IF($F42="AR",'Fleet Tech - Tech'!I$12,IF($F42="SSV",'Fleet Tech - Tech'!I$14,"nil"))))))))))))))),0)</f>
        <v>0</v>
      </c>
      <c r="BC42" s="12">
        <f>IF($H42=3,IF(OR($F42="DDV",$F42="DDG",$F42="DD"),'Fleet Tech - Tech'!J$3,IF($F42="CL",'Fleet Tech - Tech'!J$4,IF($F42="CA",'Fleet Tech - Tech'!J$5,IF($F42="BC",'Fleet Tech - Tech'!J$6,IF($F42="BB",'Fleet Tech - Tech'!J$7,IF($F42="CVL",'Fleet Tech - Tech'!J$8,IF($F42="CV",'Fleet Tech - Tech'!J$9,IF($F42="SS",'Fleet Tech - Tech'!J$10,IF($F42="BBV",'Fleet Tech - Tech'!J$11,IF($F42="CB",'Fleet Tech - Tech'!J$15,IF($F42="AE",'Fleet Tech - Tech'!J$16,IF($F42="IX",'Fleet Tech - Tech'!J$17,IF($F42="BM",'Fleet Tech - Tech'!J$13,IF($F42="AR",'Fleet Tech - Tech'!J$12,IF($F42="SSV",'Fleet Tech - Tech'!J$14,"nil"))))))))))))))),0)</f>
        <v>0</v>
      </c>
      <c r="BD42" s="12">
        <f>IF($H42=3,IF(OR($F42="DDV",$F42="DDG",$F42="DD"),'Fleet Tech - Tech'!K$3,IF($F42="CL",'Fleet Tech - Tech'!K$4,IF($F42="CA",'Fleet Tech - Tech'!K$5,IF($F42="BC",'Fleet Tech - Tech'!K$6,IF($F42="BB",'Fleet Tech - Tech'!K$7,IF($F42="CVL",'Fleet Tech - Tech'!K$8,IF($F42="CV",'Fleet Tech - Tech'!K$9,IF($F42="SS",'Fleet Tech - Tech'!K$10,IF($F42="BBV",'Fleet Tech - Tech'!K$11,IF($F42="CB",'Fleet Tech - Tech'!K$15,IF($F42="AE",'Fleet Tech - Tech'!K$16,IF($F42="IX",'Fleet Tech - Tech'!K$17,IF($F42="BM",'Fleet Tech - Tech'!K$13,IF($F42="AR",'Fleet Tech - Tech'!K$12,IF($F42="SSV",'Fleet Tech - Tech'!K$14,"nil"))))))))))))))),0)</f>
        <v>0</v>
      </c>
      <c r="BE42" s="12">
        <f>IF($H42=3,IF(OR($F42="DDV",$F42="DDG",$F42="DD"),'Fleet Tech - Tech'!L$3,IF($F42="CL",'Fleet Tech - Tech'!L$4,IF($F42="CA",'Fleet Tech - Tech'!L$5,IF($F42="BC",'Fleet Tech - Tech'!L$6,IF($F42="BB",'Fleet Tech - Tech'!L$7,IF($F42="CVL",'Fleet Tech - Tech'!L$8,IF($F42="CV",'Fleet Tech - Tech'!L$9,IF($F42="SS",'Fleet Tech - Tech'!L$10,IF($F42="BBV",'Fleet Tech - Tech'!L$11,IF($F42="CB",'Fleet Tech - Tech'!L$15,IF($F42="AE",'Fleet Tech - Tech'!L$16,IF($F42="IX",'Fleet Tech - Tech'!L$17,IF($F42="BM",'Fleet Tech - Tech'!L$13,IF($F42="AR",'Fleet Tech - Tech'!L$12,IF($F42="SSV",'Fleet Tech - Tech'!L$14,"nil"))))))))))))))),0)</f>
        <v>0</v>
      </c>
      <c r="BF42" s="12">
        <f>IF($H42=3,IF(OR($F42="DDV",$F42="DDG",$F42="DD"),'Fleet Tech - Tech'!M$3,IF($F42="CL",'Fleet Tech - Tech'!M$4,IF($F42="CA",'Fleet Tech - Tech'!M$5,IF($F42="BC",'Fleet Tech - Tech'!M$6,IF($F42="BB",'Fleet Tech - Tech'!M$7,IF($F42="CVL",'Fleet Tech - Tech'!M$8,IF($F42="CV",'Fleet Tech - Tech'!M$9,IF($F42="SS",'Fleet Tech - Tech'!M$10,IF($F42="BBV",'Fleet Tech - Tech'!M$11,IF($F42="CB",'Fleet Tech - Tech'!M$15,IF($F42="AE",'Fleet Tech - Tech'!M$16,IF($F42="IX",'Fleet Tech - Tech'!M$17,IF($F42="BM",'Fleet Tech - Tech'!M$13,IF($F42="AR",'Fleet Tech - Tech'!M$12,IF($F42="SSV",'Fleet Tech - Tech'!M$14,"nil"))))))))))))))),0)</f>
        <v>17</v>
      </c>
      <c r="BG42" s="12">
        <f>IF($H42=3,IF(OR($F42="DDV",$F42="DDG",$F42="DD"),'Fleet Tech - Tech'!N$3,IF($F42="CL",'Fleet Tech - Tech'!N$4,IF($F42="CA",'Fleet Tech - Tech'!N$5,IF($F42="BC",'Fleet Tech - Tech'!N$6,IF($F42="BB",'Fleet Tech - Tech'!N$7,IF($F42="CVL",'Fleet Tech - Tech'!N$8,IF($F42="CV",'Fleet Tech - Tech'!N$9,IF($F42="SS",'Fleet Tech - Tech'!N$10,IF($F42="BBV",'Fleet Tech - Tech'!N$11,IF($F42="CB",'Fleet Tech - Tech'!N$15,IF($F42="AE",'Fleet Tech - Tech'!N$16,IF($F42="IX",'Fleet Tech - Tech'!N$17,IF($F42="BM",'Fleet Tech - Tech'!N$13,IF($F42="AR",'Fleet Tech - Tech'!N$12,IF($F42="SSV",'Fleet Tech - Tech'!N$14,"nil"))))))))))))))),0)</f>
        <v>10</v>
      </c>
      <c r="BH42" s="28"/>
      <c r="BI42" s="12">
        <v>1741</v>
      </c>
      <c r="BJ42" s="12">
        <v>41</v>
      </c>
      <c r="BK42" s="12">
        <v>0</v>
      </c>
      <c r="BL42" s="12">
        <v>268</v>
      </c>
      <c r="BM42" s="12">
        <v>58</v>
      </c>
      <c r="BN42" s="12">
        <v>353</v>
      </c>
      <c r="BO42" s="12">
        <v>0</v>
      </c>
      <c r="BP42" s="12">
        <v>2</v>
      </c>
      <c r="BQ42" s="12">
        <v>14</v>
      </c>
      <c r="BR42" s="12">
        <v>6</v>
      </c>
      <c r="BS42" s="12">
        <v>48</v>
      </c>
      <c r="BT42" s="12">
        <v>29</v>
      </c>
      <c r="BU42" s="12">
        <v>139</v>
      </c>
      <c r="BV42" s="12">
        <v>335</v>
      </c>
      <c r="BW42" s="28"/>
      <c r="BX42" s="12">
        <v>0</v>
      </c>
      <c r="BY42" s="12">
        <v>0</v>
      </c>
      <c r="BZ42" s="12">
        <v>0</v>
      </c>
      <c r="CA42" s="12">
        <v>0</v>
      </c>
      <c r="CB42" s="12">
        <v>3</v>
      </c>
      <c r="CC42" s="12">
        <v>0</v>
      </c>
      <c r="CD42" s="12">
        <v>3</v>
      </c>
      <c r="CE42" s="12">
        <v>4</v>
      </c>
      <c r="CF42" s="12">
        <v>3</v>
      </c>
      <c r="CG42" s="12">
        <v>0</v>
      </c>
      <c r="CH42" s="12">
        <v>-1</v>
      </c>
      <c r="CI42" s="12">
        <v>-1</v>
      </c>
      <c r="CJ42" s="47"/>
      <c r="CK42" s="48">
        <f>IF(BX42=5,320,IF(BX42=4,195,IF(BX42=3,132,IF(BX42=2,90,IF(BX42=1,58,IF(BX42=-1,0,35))))))</f>
        <v>35</v>
      </c>
      <c r="CL42" s="48">
        <f>IF(BX42=5,20,IF(BX42=4,15,IF(BX42=3,12,IF(BX42=2,10,IF(BX42=1,8,IF(BX42=-1,0,5))))))</f>
        <v>5</v>
      </c>
      <c r="CM42" s="48">
        <f>IF(BZ42=5,320,IF(BZ42=4,195,IF(BZ42=3,132,IF(BZ42=2,90,IF(BZ42=1,58,IF(BZ42=-1,0,35))))))</f>
        <v>35</v>
      </c>
      <c r="CN42" s="48">
        <f>IF(BZ42=5,20,IF(BZ42=4,15,IF(BZ42=3,12,IF(BZ42=2,10,IF(BZ42=1,8,IF(BZ42=-1,0,5))))))</f>
        <v>5</v>
      </c>
      <c r="CO42" s="48">
        <f>IF(CB42=5,320,IF(CB42=4,195,IF(CB42=3,132,IF(CB42=2,90,IF(CB42=1,58,IF(CB42=-1,0,35))))))</f>
        <v>132</v>
      </c>
      <c r="CP42" s="48">
        <f>IF(CB42=5,20,IF(CB42=4,15,IF(CB42=3,12,IF(CB42=2,10,IF(CB42=1,8,IF(CB42=-1,0,5))))))</f>
        <v>12</v>
      </c>
      <c r="CQ42" s="48">
        <f>IF(CD42=5,320,IF(CD42=4,195,IF(CD42=3,132,IF(CD42=2,90,IF(CD42=1,58,IF(CD42=-1,0,35))))))</f>
        <v>132</v>
      </c>
      <c r="CR42" s="48">
        <f>IF(CD42=5,20,IF(CD42=4,15,IF(CD42=3,12,IF(CD42=2,10,IF(CD42=1,8,IF(CD42=-1,0,5))))))</f>
        <v>12</v>
      </c>
      <c r="CS42" s="48">
        <f>IF(CF42=5,320,IF(CF42=4,195,IF(CF42=3,132,IF(CF42=2,90,IF(CF42=1,58,IF(CF42=-1,0,35))))))</f>
        <v>132</v>
      </c>
      <c r="CT42" s="48">
        <f>IF(CF42=5,20,IF(CF42=4,15,IF(CF42=3,12,IF(CF42=2,10,IF(CF42=1,8,IF(CF42=-1,0,5))))))</f>
        <v>12</v>
      </c>
      <c r="CU42" s="48">
        <f>IF(CH42=5,320,IF(CH42=4,195,IF(CH42=3,132,IF(CH42=2,90,IF(CH42=1,58,IF(CH42=-1,0,35))))))</f>
        <v>0</v>
      </c>
      <c r="CV42" s="48">
        <f>IF(CH42=5,20,IF(CH42=4,15,IF(CH42=3,12,IF(CH42=2,10,IF(CH42=1,8,IF(CH42=-1,0,5))))))</f>
        <v>0</v>
      </c>
      <c r="CW42" s="48">
        <f>IF(BY42&gt;10,(BY42/10)-ROUNDDOWN(BY42/10,0),0)+IF(CA42&gt;10,(CA42/10)-ROUNDDOWN(CA42/10,0),0)+IF(CC42&gt;10,(CC42/10)-ROUNDDOWN(CC42/10,0),0)+IF(CE42&gt;10,(CE42/10)-ROUNDDOWN(CE42/10,0),0)+IF(CG42&gt;10,(CG42/10)-ROUNDDOWN(CG42/10,0),0)+IF(CI42&gt;10,(CI42/10)-ROUNDDOWN(CI42/10,0),0)</f>
        <v>0</v>
      </c>
      <c r="CX42" s="48">
        <f>1+(CW42/10)</f>
        <v>1</v>
      </c>
    </row>
    <row r="43" ht="20.05" customHeight="1">
      <c r="A43" t="s" s="43">
        <v>321</v>
      </c>
      <c r="B43" s="49"/>
      <c r="C43" t="s" s="45">
        <v>73</v>
      </c>
      <c r="D43" s="13">
        <v>7</v>
      </c>
      <c r="E43" t="s" s="15">
        <v>232</v>
      </c>
      <c r="F43" t="s" s="15">
        <v>284</v>
      </c>
      <c r="G43" t="s" s="15">
        <v>314</v>
      </c>
      <c r="H43" s="12">
        <v>3</v>
      </c>
      <c r="I43" t="s" s="15">
        <v>235</v>
      </c>
      <c r="J43" s="12">
        <v>94</v>
      </c>
      <c r="K43" t="s" s="14">
        <v>236</v>
      </c>
      <c r="L43" t="s" s="15">
        <v>237</v>
      </c>
      <c r="M43" t="s" s="15">
        <v>19</v>
      </c>
      <c r="N43" s="46">
        <f>ROUND((SUM(AA43,T43:Y43,AC43:AE43,Z43*10)-AB43*15)*(IF(K43="Heavy",0.15,IF(K43="Medium",0,IF(K43="Light",-0.15,10)))+1),0)</f>
        <v>1154</v>
      </c>
      <c r="O43" s="46">
        <v>2183</v>
      </c>
      <c r="P43" s="46">
        <f>ROUNDDOWN((BI43+AU43+AG43)/5,0)+(BJ43+AV43+AH43)+(BN43+AZ43+AL43)+(BO43+BA43+AM43)+(BK43+AW43+AI43)+(BS43+BE43+AQ43)+(BL43+AX43+AJ43)+(BQ43+BC43+AO43)+(2*((BT43+BF43+AR43)+(BU43+BG43+AS43)))+(CK43+CM43+CO43+CQ43+CS43+CU43)+(CL43*BY43)+(CN43*CA43)+(CP43+CC43)+(CR43+CE43)+(CT43+CG43)+(CV43+CI43)+BV43</f>
        <v>2517</v>
      </c>
      <c r="Q43" s="46">
        <f>ROUNDDOWN(((S43/5)+T43+X43+Y43+U43+AC43+V43+AA43+(2*(AD43+AE43))+CK43+CM43+CO43+CQ43+CS43+CU43+(CL43*BX43)+(CN43*BZ43)+(CP43*CB43)+(CR43*CD43)+(CT43*CF43)+(CV43*CH43))*CX43,0)</f>
        <v>2186</v>
      </c>
      <c r="R43" s="46">
        <f>ROUNDDOWN(AVERAGE(P43:Q43),0)</f>
        <v>2351</v>
      </c>
      <c r="S43" s="12">
        <f>AG43+AU43+BI43</f>
        <v>1980</v>
      </c>
      <c r="T43" s="12">
        <f>AH43+AV43+BJ43</f>
        <v>66</v>
      </c>
      <c r="U43" s="12">
        <f>AI43+AW43+BK43</f>
        <v>139</v>
      </c>
      <c r="V43" s="12">
        <f>AJ43+AX43+BL43</f>
        <v>187</v>
      </c>
      <c r="W43" s="12">
        <f>AK43+AY43+BM43</f>
        <v>93</v>
      </c>
      <c r="X43" s="12">
        <f>AL43+AZ43+BN43</f>
        <v>432</v>
      </c>
      <c r="Y43" s="12">
        <f>AM43+BA43+BO43</f>
        <v>0</v>
      </c>
      <c r="Z43" s="12">
        <f>AN43+BB43+BP43</f>
        <v>0</v>
      </c>
      <c r="AA43" s="12">
        <f>AO43+BC43+BQ43</f>
        <v>42</v>
      </c>
      <c r="AB43" s="12">
        <f>AP43+BD43+BR43</f>
        <v>10</v>
      </c>
      <c r="AC43" s="12">
        <f>AQ43+BE43+BS43</f>
        <v>174</v>
      </c>
      <c r="AD43" s="12">
        <f>AR43+BF43+BT43</f>
        <v>200</v>
      </c>
      <c r="AE43" s="12">
        <f>AS43+BG43+BU43</f>
        <v>175</v>
      </c>
      <c r="AF43" s="28"/>
      <c r="AG43" s="12">
        <v>0</v>
      </c>
      <c r="AH43" s="12">
        <v>0</v>
      </c>
      <c r="AI43" s="12">
        <v>0</v>
      </c>
      <c r="AJ43" s="12">
        <v>0</v>
      </c>
      <c r="AK43" s="12">
        <v>0</v>
      </c>
      <c r="AL43" s="12">
        <v>0</v>
      </c>
      <c r="AM43" s="12">
        <v>0</v>
      </c>
      <c r="AN43" s="12">
        <v>0</v>
      </c>
      <c r="AO43" s="12">
        <v>0</v>
      </c>
      <c r="AP43" s="12">
        <v>0</v>
      </c>
      <c r="AQ43" s="12">
        <v>0</v>
      </c>
      <c r="AR43" s="12">
        <v>0</v>
      </c>
      <c r="AS43" s="12">
        <v>0</v>
      </c>
      <c r="AT43" s="28"/>
      <c r="AU43" s="12">
        <f>IF($H43=3,IF(OR($F43="DDV",$F43="DDG",$F43="DD"),'Fleet Tech - Tech'!B$3,IF($F43="CL",'Fleet Tech - Tech'!B$4,IF($F43="CA",'Fleet Tech - Tech'!B$5,IF($F43="BC",'Fleet Tech - Tech'!B$6,IF($F43="BB",'Fleet Tech - Tech'!B$7,IF($F43="CVL",'Fleet Tech - Tech'!B$8,IF($F43="CV",'Fleet Tech - Tech'!B$9,IF($F43="SS",'Fleet Tech - Tech'!B$10,IF($F43="BBV",'Fleet Tech - Tech'!B$11,IF($F43="CB",'Fleet Tech - Tech'!B$15,IF($F43="AE",'Fleet Tech - Tech'!B$16,IF($F43="IX",'Fleet Tech - Tech'!B$17,IF($F43="BM",'Fleet Tech - Tech'!B$13,IF($F43="AR",'Fleet Tech - Tech'!B$12,IF($F43="SSV",'Fleet Tech - Tech'!B$14,"nil"))))))))))))))),0)</f>
        <v>128</v>
      </c>
      <c r="AV43" s="12">
        <f>IF($H43=3,IF(OR($F43="DDV",$F43="DDG",$F43="DD"),'Fleet Tech - Tech'!C$3,IF($F43="CL",'Fleet Tech - Tech'!C$4,IF($F43="CA",'Fleet Tech - Tech'!C$5,IF($F43="BC",'Fleet Tech - Tech'!C$6,IF($F43="BB",'Fleet Tech - Tech'!C$7,IF($F43="CVL",'Fleet Tech - Tech'!C$8,IF($F43="CV",'Fleet Tech - Tech'!C$9,IF($F43="SS",'Fleet Tech - Tech'!C$10,IF($F43="BBV",'Fleet Tech - Tech'!C$11,IF($F43="CB",'Fleet Tech - Tech'!C$15,IF($F43="AE",'Fleet Tech - Tech'!C$16,IF($F43="IX",'Fleet Tech - Tech'!C$17,IF($F43="BM",'Fleet Tech - Tech'!C$13,IF($F43="AR",'Fleet Tech - Tech'!C$12,IF($F43="SSV",'Fleet Tech - Tech'!C$14,"nil"))))))))))))))),0)</f>
        <v>11</v>
      </c>
      <c r="AW43" s="12">
        <f>IF($H43=3,IF(OR($F43="DDV",$F43="DDG",$F43="DD"),'Fleet Tech - Tech'!D$3,IF($F43="CL",'Fleet Tech - Tech'!D$4,IF($F43="CA",'Fleet Tech - Tech'!D$5,IF($F43="BC",'Fleet Tech - Tech'!D$6,IF($F43="BB",'Fleet Tech - Tech'!D$7,IF($F43="CVL",'Fleet Tech - Tech'!D$8,IF($F43="CV",'Fleet Tech - Tech'!D$9,IF($F43="SS",'Fleet Tech - Tech'!D$10,IF($F43="BBV",'Fleet Tech - Tech'!D$11,IF($F43="CB",'Fleet Tech - Tech'!D$15,IF($F43="AE",'Fleet Tech - Tech'!D$16,IF($F43="IX",'Fleet Tech - Tech'!D$17,IF($F43="BM",'Fleet Tech - Tech'!D$13,IF($F43="AR",'Fleet Tech - Tech'!D$12,IF($F43="SSV",'Fleet Tech - Tech'!D$14,"nil"))))))))))))))),0)</f>
        <v>3</v>
      </c>
      <c r="AX43" s="12">
        <f>IF($H43=3,IF(OR($F43="DDV",$F43="DDG",$F43="DD"),'Fleet Tech - Tech'!E$3,IF($F43="CL",'Fleet Tech - Tech'!E$4,IF($F43="CA",'Fleet Tech - Tech'!E$5,IF($F43="BC",'Fleet Tech - Tech'!E$6,IF($F43="BB",'Fleet Tech - Tech'!E$7,IF($F43="CVL",'Fleet Tech - Tech'!E$8,IF($F43="CV",'Fleet Tech - Tech'!E$9,IF($F43="SS",'Fleet Tech - Tech'!E$10,IF($F43="BBV",'Fleet Tech - Tech'!E$11,IF($F43="CB",'Fleet Tech - Tech'!E$15,IF($F43="AE",'Fleet Tech - Tech'!E$16,IF($F43="IX",'Fleet Tech - Tech'!E$17,IF($F43="BM",'Fleet Tech - Tech'!E$13,IF($F43="AR",'Fleet Tech - Tech'!E$12,IF($F43="SSV",'Fleet Tech - Tech'!E$14,"nil"))))))))))))))),0)</f>
        <v>2</v>
      </c>
      <c r="AY43" s="12">
        <f>IF($H43=3,IF(OR($F43="DDV",$F43="DDG",$F43="DD"),'Fleet Tech - Tech'!F$3,IF($F43="CL",'Fleet Tech - Tech'!F$4,IF($F43="CA",'Fleet Tech - Tech'!F$5,IF($F43="BC",'Fleet Tech - Tech'!F$6,IF($F43="BB",'Fleet Tech - Tech'!F$7,IF($F43="CVL",'Fleet Tech - Tech'!F$8,IF($F43="CV",'Fleet Tech - Tech'!F$9,IF($F43="SS",'Fleet Tech - Tech'!F$10,IF($F43="BBV",'Fleet Tech - Tech'!F$11,IF($F43="CB",'Fleet Tech - Tech'!F$15,IF($F43="AE",'Fleet Tech - Tech'!F$16,IF($F43="IX",'Fleet Tech - Tech'!F$17,IF($F43="BM",'Fleet Tech - Tech'!F$13,IF($F43="AR",'Fleet Tech - Tech'!F$12,IF($F43="SSV",'Fleet Tech - Tech'!F$14,"nil"))))))))))))))),0)</f>
        <v>0</v>
      </c>
      <c r="AZ43" s="12">
        <f>IF($H43=3,IF(OR($F43="DDV",$F43="DDG",$F43="DD"),'Fleet Tech - Tech'!G$3,IF($F43="CL",'Fleet Tech - Tech'!G$4,IF($F43="CA",'Fleet Tech - Tech'!G$5,IF($F43="BC",'Fleet Tech - Tech'!G$6,IF($F43="BB",'Fleet Tech - Tech'!G$7,IF($F43="CVL",'Fleet Tech - Tech'!G$8,IF($F43="CV",'Fleet Tech - Tech'!G$9,IF($F43="SS",'Fleet Tech - Tech'!G$10,IF($F43="BBV",'Fleet Tech - Tech'!G$11,IF($F43="CB",'Fleet Tech - Tech'!G$15,IF($F43="AE",'Fleet Tech - Tech'!G$16,IF($F43="IX",'Fleet Tech - Tech'!G$17,IF($F43="BM",'Fleet Tech - Tech'!G$13,IF($F43="AR",'Fleet Tech - Tech'!G$12,IF($F43="SSV",'Fleet Tech - Tech'!G$14,"nil"))))))))))))))),0)</f>
        <v>1</v>
      </c>
      <c r="BA43" s="12">
        <f>IF($H43=3,IF(OR($F43="DDV",$F43="DDG",$F43="DD"),'Fleet Tech - Tech'!H$3,IF($F43="CL",'Fleet Tech - Tech'!H$4,IF($F43="CA",'Fleet Tech - Tech'!H$5,IF($F43="BC",'Fleet Tech - Tech'!H$6,IF($F43="BB",'Fleet Tech - Tech'!H$7,IF($F43="CVL",'Fleet Tech - Tech'!H$8,IF($F43="CV",'Fleet Tech - Tech'!H$9,IF($F43="SS",'Fleet Tech - Tech'!H$10,IF($F43="BBV",'Fleet Tech - Tech'!H$11,IF($F43="CB",'Fleet Tech - Tech'!H$15,IF($F43="AE",'Fleet Tech - Tech'!H$16,IF($F43="IX",'Fleet Tech - Tech'!H$17,IF($F43="BM",'Fleet Tech - Tech'!H$13,IF($F43="AR",'Fleet Tech - Tech'!H$12,IF($F43="SSV",'Fleet Tech - Tech'!H$14,"nil"))))))))))))))),0)</f>
        <v>0</v>
      </c>
      <c r="BB43" s="12">
        <f>IF($H43=3,IF(OR($F43="DDV",$F43="DDG",$F43="DD"),'Fleet Tech - Tech'!I$3,IF($F43="CL",'Fleet Tech - Tech'!I$4,IF($F43="CA",'Fleet Tech - Tech'!I$5,IF($F43="BC",'Fleet Tech - Tech'!I$6,IF($F43="BB",'Fleet Tech - Tech'!I$7,IF($F43="CVL",'Fleet Tech - Tech'!I$8,IF($F43="CV",'Fleet Tech - Tech'!I$9,IF($F43="SS",'Fleet Tech - Tech'!I$10,IF($F43="BBV",'Fleet Tech - Tech'!I$11,IF($F43="CB",'Fleet Tech - Tech'!I$15,IF($F43="AE",'Fleet Tech - Tech'!I$16,IF($F43="IX",'Fleet Tech - Tech'!I$17,IF($F43="BM",'Fleet Tech - Tech'!I$13,IF($F43="AR",'Fleet Tech - Tech'!I$12,IF($F43="SSV",'Fleet Tech - Tech'!I$14,"nil"))))))))))))))),0)</f>
        <v>0</v>
      </c>
      <c r="BC43" s="12">
        <f>IF($H43=3,IF(OR($F43="DDV",$F43="DDG",$F43="DD"),'Fleet Tech - Tech'!J$3,IF($F43="CL",'Fleet Tech - Tech'!J$4,IF($F43="CA",'Fleet Tech - Tech'!J$5,IF($F43="BC",'Fleet Tech - Tech'!J$6,IF($F43="BB",'Fleet Tech - Tech'!J$7,IF($F43="CVL",'Fleet Tech - Tech'!J$8,IF($F43="CV",'Fleet Tech - Tech'!J$9,IF($F43="SS",'Fleet Tech - Tech'!J$10,IF($F43="BBV",'Fleet Tech - Tech'!J$11,IF($F43="CB",'Fleet Tech - Tech'!J$15,IF($F43="AE",'Fleet Tech - Tech'!J$16,IF($F43="IX",'Fleet Tech - Tech'!J$17,IF($F43="BM",'Fleet Tech - Tech'!J$13,IF($F43="AR",'Fleet Tech - Tech'!J$12,IF($F43="SSV",'Fleet Tech - Tech'!J$14,"nil"))))))))))))))),0)</f>
        <v>0</v>
      </c>
      <c r="BD43" s="12">
        <f>IF($H43=3,IF(OR($F43="DDV",$F43="DDG",$F43="DD"),'Fleet Tech - Tech'!K$3,IF($F43="CL",'Fleet Tech - Tech'!K$4,IF($F43="CA",'Fleet Tech - Tech'!K$5,IF($F43="BC",'Fleet Tech - Tech'!K$6,IF($F43="BB",'Fleet Tech - Tech'!K$7,IF($F43="CVL",'Fleet Tech - Tech'!K$8,IF($F43="CV",'Fleet Tech - Tech'!K$9,IF($F43="SS",'Fleet Tech - Tech'!K$10,IF($F43="BBV",'Fleet Tech - Tech'!K$11,IF($F43="CB",'Fleet Tech - Tech'!K$15,IF($F43="AE",'Fleet Tech - Tech'!K$16,IF($F43="IX",'Fleet Tech - Tech'!K$17,IF($F43="BM",'Fleet Tech - Tech'!K$13,IF($F43="AR",'Fleet Tech - Tech'!K$12,IF($F43="SSV",'Fleet Tech - Tech'!K$14,"nil"))))))))))))))),0)</f>
        <v>0</v>
      </c>
      <c r="BE43" s="12">
        <f>IF($H43=3,IF(OR($F43="DDV",$F43="DDG",$F43="DD"),'Fleet Tech - Tech'!L$3,IF($F43="CL",'Fleet Tech - Tech'!L$4,IF($F43="CA",'Fleet Tech - Tech'!L$5,IF($F43="BC",'Fleet Tech - Tech'!L$6,IF($F43="BB",'Fleet Tech - Tech'!L$7,IF($F43="CVL",'Fleet Tech - Tech'!L$8,IF($F43="CV",'Fleet Tech - Tech'!L$9,IF($F43="SS",'Fleet Tech - Tech'!L$10,IF($F43="BBV",'Fleet Tech - Tech'!L$11,IF($F43="CB",'Fleet Tech - Tech'!L$15,IF($F43="AE",'Fleet Tech - Tech'!L$16,IF($F43="IX",'Fleet Tech - Tech'!L$17,IF($F43="BM",'Fleet Tech - Tech'!L$13,IF($F43="AR",'Fleet Tech - Tech'!L$12,IF($F43="SSV",'Fleet Tech - Tech'!L$14,"nil"))))))))))))))),0)</f>
        <v>1</v>
      </c>
      <c r="BF43" s="12">
        <f>IF($H43=3,IF(OR($F43="DDV",$F43="DDG",$F43="DD"),'Fleet Tech - Tech'!M$3,IF($F43="CL",'Fleet Tech - Tech'!M$4,IF($F43="CA",'Fleet Tech - Tech'!M$5,IF($F43="BC",'Fleet Tech - Tech'!M$6,IF($F43="BB",'Fleet Tech - Tech'!M$7,IF($F43="CVL",'Fleet Tech - Tech'!M$8,IF($F43="CV",'Fleet Tech - Tech'!M$9,IF($F43="SS",'Fleet Tech - Tech'!M$10,IF($F43="BBV",'Fleet Tech - Tech'!M$11,IF($F43="CB",'Fleet Tech - Tech'!M$15,IF($F43="AE",'Fleet Tech - Tech'!M$16,IF($F43="IX",'Fleet Tech - Tech'!M$17,IF($F43="BM",'Fleet Tech - Tech'!M$13,IF($F43="AR",'Fleet Tech - Tech'!M$12,IF($F43="SSV",'Fleet Tech - Tech'!M$14,"nil"))))))))))))))),0)</f>
        <v>5</v>
      </c>
      <c r="BG43" s="12">
        <f>IF($H43=3,IF(OR($F43="DDV",$F43="DDG",$F43="DD"),'Fleet Tech - Tech'!N$3,IF($F43="CL",'Fleet Tech - Tech'!N$4,IF($F43="CA",'Fleet Tech - Tech'!N$5,IF($F43="BC",'Fleet Tech - Tech'!N$6,IF($F43="BB",'Fleet Tech - Tech'!N$7,IF($F43="CVL",'Fleet Tech - Tech'!N$8,IF($F43="CV",'Fleet Tech - Tech'!N$9,IF($F43="SS",'Fleet Tech - Tech'!N$10,IF($F43="BBV",'Fleet Tech - Tech'!N$11,IF($F43="CB",'Fleet Tech - Tech'!N$15,IF($F43="AE",'Fleet Tech - Tech'!N$16,IF($F43="IX",'Fleet Tech - Tech'!N$17,IF($F43="BM",'Fleet Tech - Tech'!N$13,IF($F43="AR",'Fleet Tech - Tech'!N$12,IF($F43="SSV",'Fleet Tech - Tech'!N$14,"nil"))))))))))))))),0)</f>
        <v>0</v>
      </c>
      <c r="BH43" s="28"/>
      <c r="BI43" s="12">
        <v>1852</v>
      </c>
      <c r="BJ43" s="12">
        <v>55</v>
      </c>
      <c r="BK43" s="12">
        <v>136</v>
      </c>
      <c r="BL43" s="12">
        <v>185</v>
      </c>
      <c r="BM43" s="12">
        <v>93</v>
      </c>
      <c r="BN43" s="12">
        <v>431</v>
      </c>
      <c r="BO43" s="12">
        <v>0</v>
      </c>
      <c r="BP43" s="12">
        <v>0</v>
      </c>
      <c r="BQ43" s="12">
        <v>42</v>
      </c>
      <c r="BR43" s="12">
        <v>10</v>
      </c>
      <c r="BS43" s="12">
        <v>173</v>
      </c>
      <c r="BT43" s="12">
        <v>195</v>
      </c>
      <c r="BU43" s="12">
        <v>175</v>
      </c>
      <c r="BV43" s="12">
        <v>335</v>
      </c>
      <c r="BW43" s="28"/>
      <c r="BX43" s="12">
        <v>-1</v>
      </c>
      <c r="BY43" s="12">
        <v>-1</v>
      </c>
      <c r="BZ43" s="12">
        <v>-1</v>
      </c>
      <c r="CA43" s="12">
        <v>-1</v>
      </c>
      <c r="CB43" s="12">
        <v>-1</v>
      </c>
      <c r="CC43" s="12">
        <v>-1</v>
      </c>
      <c r="CD43" s="12">
        <v>-1</v>
      </c>
      <c r="CE43" s="12">
        <v>-1</v>
      </c>
      <c r="CF43" s="12">
        <v>-1</v>
      </c>
      <c r="CG43" s="12">
        <v>-1</v>
      </c>
      <c r="CH43" s="12">
        <v>-1</v>
      </c>
      <c r="CI43" s="12">
        <v>-1</v>
      </c>
      <c r="CJ43" s="47"/>
      <c r="CK43" s="48">
        <f>IF(BX43=5,320,IF(BX43=4,195,IF(BX43=3,132,IF(BX43=2,90,IF(BX43=1,58,IF(BX43=-1,0,35))))))</f>
        <v>0</v>
      </c>
      <c r="CL43" s="48">
        <f>IF(BX43=5,20,IF(BX43=4,15,IF(BX43=3,12,IF(BX43=2,10,IF(BX43=1,8,IF(BX43=-1,0,5))))))</f>
        <v>0</v>
      </c>
      <c r="CM43" s="48">
        <f>IF(BZ43=5,320,IF(BZ43=4,195,IF(BZ43=3,132,IF(BZ43=2,90,IF(BZ43=1,58,IF(BZ43=-1,0,35))))))</f>
        <v>0</v>
      </c>
      <c r="CN43" s="48">
        <f>IF(BZ43=5,20,IF(BZ43=4,15,IF(BZ43=3,12,IF(BZ43=2,10,IF(BZ43=1,8,IF(BZ43=-1,0,5))))))</f>
        <v>0</v>
      </c>
      <c r="CO43" s="48">
        <f>IF(CB43=5,320,IF(CB43=4,195,IF(CB43=3,132,IF(CB43=2,90,IF(CB43=1,58,IF(CB43=-1,0,35))))))</f>
        <v>0</v>
      </c>
      <c r="CP43" s="48">
        <f>IF(CB43=5,20,IF(CB43=4,15,IF(CB43=3,12,IF(CB43=2,10,IF(CB43=1,8,IF(CB43=-1,0,5))))))</f>
        <v>0</v>
      </c>
      <c r="CQ43" s="48">
        <f>IF(CD43=5,320,IF(CD43=4,195,IF(CD43=3,132,IF(CD43=2,90,IF(CD43=1,58,IF(CD43=-1,0,35))))))</f>
        <v>0</v>
      </c>
      <c r="CR43" s="48">
        <f>IF(CD43=5,20,IF(CD43=4,15,IF(CD43=3,12,IF(CD43=2,10,IF(CD43=1,8,IF(CD43=-1,0,5))))))</f>
        <v>0</v>
      </c>
      <c r="CS43" s="48">
        <f>IF(CF43=5,320,IF(CF43=4,195,IF(CF43=3,132,IF(CF43=2,90,IF(CF43=1,58,IF(CF43=-1,0,35))))))</f>
        <v>0</v>
      </c>
      <c r="CT43" s="48">
        <f>IF(CF43=5,20,IF(CF43=4,15,IF(CF43=3,12,IF(CF43=2,10,IF(CF43=1,8,IF(CF43=-1,0,5))))))</f>
        <v>0</v>
      </c>
      <c r="CU43" s="48">
        <f>IF(CH43=5,320,IF(CH43=4,195,IF(CH43=3,132,IF(CH43=2,90,IF(CH43=1,58,IF(CH43=-1,0,35))))))</f>
        <v>0</v>
      </c>
      <c r="CV43" s="48">
        <f>IF(CH43=5,20,IF(CH43=4,15,IF(CH43=3,12,IF(CH43=2,10,IF(CH43=1,8,IF(CH43=-1,0,5))))))</f>
        <v>0</v>
      </c>
      <c r="CW43" s="48">
        <f>IF(BY43&gt;10,(BY43/10)-ROUNDDOWN(BY43/10,0),0)+IF(CA43&gt;10,(CA43/10)-ROUNDDOWN(CA43/10,0),0)+IF(CC43&gt;10,(CC43/10)-ROUNDDOWN(CC43/10,0),0)+IF(CE43&gt;10,(CE43/10)-ROUNDDOWN(CE43/10,0),0)+IF(CG43&gt;10,(CG43/10)-ROUNDDOWN(CG43/10,0),0)+IF(CI43&gt;10,(CI43/10)-ROUNDDOWN(CI43/10,0),0)</f>
        <v>0</v>
      </c>
      <c r="CX43" s="48">
        <f>1+(CW43/10)</f>
        <v>1</v>
      </c>
    </row>
    <row r="44" ht="20.05" customHeight="1">
      <c r="A44" t="s" s="43">
        <v>322</v>
      </c>
      <c r="B44" s="49"/>
      <c r="C44" t="s" s="45">
        <v>73</v>
      </c>
      <c r="D44" s="13">
        <v>7</v>
      </c>
      <c r="E44" t="s" s="15">
        <v>240</v>
      </c>
      <c r="F44" t="s" s="15">
        <v>280</v>
      </c>
      <c r="G44" t="s" s="15">
        <v>262</v>
      </c>
      <c r="H44" s="12">
        <v>2</v>
      </c>
      <c r="I44" t="s" s="15">
        <v>235</v>
      </c>
      <c r="J44" s="12">
        <v>90</v>
      </c>
      <c r="K44" t="s" s="14">
        <v>264</v>
      </c>
      <c r="L44" t="s" s="15">
        <v>265</v>
      </c>
      <c r="M44" t="s" s="15">
        <v>22</v>
      </c>
      <c r="N44" s="46">
        <f>ROUND((SUM(AA44,T44:Y44,AC44:AE44,Z44*10)-AB44*15)*(IF(K44="Heavy",0.15,IF(K44="Medium",0,IF(K44="Light",-0.15,10)))+1),0)</f>
        <v>601</v>
      </c>
      <c r="O44" s="46">
        <v>2681</v>
      </c>
      <c r="P44" s="46">
        <f>ROUNDDOWN((BI44+AU44+AG44)/5,0)+(BJ44+AV44+AH44)+(BN44+AZ44+AL44)+(BO44+BA44+AM44)+(BK44+AW44+AI44)+(BS44+BE44+AQ44)+(BL44+AX44+AJ44)+(BQ44+BC44+AO44)+(2*((BT44+BF44+AR44)+(BU44+BG44+AS44)))+(CK44+CM44+CO44+CQ44+CS44+CU44)+(CL44*BY44)+(CN44*CA44)+(CP44+CC44)+(CR44+CE44)+(CT44+CG44)+(CV44+CI44)+BV44</f>
        <v>2983</v>
      </c>
      <c r="Q44" s="46">
        <f>ROUNDDOWN(((S44/5)+T44+X44+Y44+U44+AC44+V44+AA44+(2*(AD44+AE44))+CK44+CM44+CO44+CQ44+CS44+CU44+(CL44*BX44)+(CN44*BZ44)+(CP44*CB44)+(CR44*CD44)+(CT44*CF44)+(CV44*CH44))*CX44,0)</f>
        <v>2708</v>
      </c>
      <c r="R44" s="46">
        <f>ROUNDDOWN(AVERAGE(P44:Q44),0)</f>
        <v>2845</v>
      </c>
      <c r="S44" s="12">
        <f>AG44+AU44+BI44</f>
        <v>5837</v>
      </c>
      <c r="T44" s="12">
        <f>AH44+AV44+BJ44</f>
        <v>305</v>
      </c>
      <c r="U44" s="12">
        <f>AI44+AW44+BK44</f>
        <v>188</v>
      </c>
      <c r="V44" s="12">
        <f>AJ44+AX44+BL44</f>
        <v>0</v>
      </c>
      <c r="W44" s="12">
        <f>AK44+AY44+BM44</f>
        <v>19</v>
      </c>
      <c r="X44" s="12">
        <f>AL44+AZ44+BN44</f>
        <v>0</v>
      </c>
      <c r="Y44" s="12">
        <f>AM44+BA44+BO44</f>
        <v>0</v>
      </c>
      <c r="Z44" s="12">
        <f>AN44+BB44+BP44</f>
        <v>0</v>
      </c>
      <c r="AA44" s="12">
        <f>AO44+BC44+BQ44</f>
        <v>28</v>
      </c>
      <c r="AB44" s="12">
        <f>AP44+BD44+BR44</f>
        <v>13</v>
      </c>
      <c r="AC44" s="12">
        <f>AQ44+BE44+BS44</f>
        <v>95</v>
      </c>
      <c r="AD44" s="12">
        <f>AR44+BF44+BT44</f>
        <v>27</v>
      </c>
      <c r="AE44" s="12">
        <f>AS44+BG44+BU44</f>
        <v>56</v>
      </c>
      <c r="AF44" s="28"/>
      <c r="AG44" s="12">
        <v>200</v>
      </c>
      <c r="AH44" s="12">
        <v>70</v>
      </c>
      <c r="AI44" s="12">
        <v>25</v>
      </c>
      <c r="AJ44" s="12">
        <v>0</v>
      </c>
      <c r="AK44" s="12">
        <v>0</v>
      </c>
      <c r="AL44" s="12">
        <v>0</v>
      </c>
      <c r="AM44" s="12">
        <v>0</v>
      </c>
      <c r="AN44" s="12">
        <v>0</v>
      </c>
      <c r="AO44" s="12">
        <v>0</v>
      </c>
      <c r="AP44" s="12">
        <v>0</v>
      </c>
      <c r="AQ44" s="12">
        <v>0</v>
      </c>
      <c r="AR44" s="12">
        <v>0</v>
      </c>
      <c r="AS44" s="12">
        <v>0</v>
      </c>
      <c r="AT44" s="28"/>
      <c r="AU44" s="12">
        <f>IF($H44=3,IF(OR($F44="DDV",$F44="DDG",$F44="DD"),'Fleet Tech - Tech'!B$3,IF($F44="CL",'Fleet Tech - Tech'!B$4,IF($F44="CA",'Fleet Tech - Tech'!B$5,IF($F44="BC",'Fleet Tech - Tech'!B$6,IF($F44="BB",'Fleet Tech - Tech'!B$7,IF($F44="CVL",'Fleet Tech - Tech'!B$8,IF($F44="CV",'Fleet Tech - Tech'!B$9,IF($F44="SS",'Fleet Tech - Tech'!B$10,IF($F44="BBV",'Fleet Tech - Tech'!B$11,IF($F44="CB",'Fleet Tech - Tech'!B$15,IF($F44="AE",'Fleet Tech - Tech'!B$16,IF($F44="IX",'Fleet Tech - Tech'!B$17,IF($F44="BM",'Fleet Tech - Tech'!B$13,IF($F44="AR",'Fleet Tech - Tech'!B$12,IF($F44="SSV",'Fleet Tech - Tech'!B$14,"nil"))))))))))))))),0)</f>
        <v>0</v>
      </c>
      <c r="AV44" s="12">
        <f>IF($H44=3,IF(OR($F44="DDV",$F44="DDG",$F44="DD"),'Fleet Tech - Tech'!C$3,IF($F44="CL",'Fleet Tech - Tech'!C$4,IF($F44="CA",'Fleet Tech - Tech'!C$5,IF($F44="BC",'Fleet Tech - Tech'!C$6,IF($F44="BB",'Fleet Tech - Tech'!C$7,IF($F44="CVL",'Fleet Tech - Tech'!C$8,IF($F44="CV",'Fleet Tech - Tech'!C$9,IF($F44="SS",'Fleet Tech - Tech'!C$10,IF($F44="BBV",'Fleet Tech - Tech'!C$11,IF($F44="CB",'Fleet Tech - Tech'!C$15,IF($F44="AE",'Fleet Tech - Tech'!C$16,IF($F44="IX",'Fleet Tech - Tech'!C$17,IF($F44="BM",'Fleet Tech - Tech'!C$13,IF($F44="AR",'Fleet Tech - Tech'!C$12,IF($F44="SSV",'Fleet Tech - Tech'!C$14,"nil"))))))))))))))),0)</f>
        <v>0</v>
      </c>
      <c r="AW44" s="12">
        <f>IF($H44=3,IF(OR($F44="DDV",$F44="DDG",$F44="DD"),'Fleet Tech - Tech'!D$3,IF($F44="CL",'Fleet Tech - Tech'!D$4,IF($F44="CA",'Fleet Tech - Tech'!D$5,IF($F44="BC",'Fleet Tech - Tech'!D$6,IF($F44="BB",'Fleet Tech - Tech'!D$7,IF($F44="CVL",'Fleet Tech - Tech'!D$8,IF($F44="CV",'Fleet Tech - Tech'!D$9,IF($F44="SS",'Fleet Tech - Tech'!D$10,IF($F44="BBV",'Fleet Tech - Tech'!D$11,IF($F44="CB",'Fleet Tech - Tech'!D$15,IF($F44="AE",'Fleet Tech - Tech'!D$16,IF($F44="IX",'Fleet Tech - Tech'!D$17,IF($F44="BM",'Fleet Tech - Tech'!D$13,IF($F44="AR",'Fleet Tech - Tech'!D$12,IF($F44="SSV",'Fleet Tech - Tech'!D$14,"nil"))))))))))))))),0)</f>
        <v>0</v>
      </c>
      <c r="AX44" s="12">
        <f>IF($H44=3,IF(OR($F44="DDV",$F44="DDG",$F44="DD"),'Fleet Tech - Tech'!E$3,IF($F44="CL",'Fleet Tech - Tech'!E$4,IF($F44="CA",'Fleet Tech - Tech'!E$5,IF($F44="BC",'Fleet Tech - Tech'!E$6,IF($F44="BB",'Fleet Tech - Tech'!E$7,IF($F44="CVL",'Fleet Tech - Tech'!E$8,IF($F44="CV",'Fleet Tech - Tech'!E$9,IF($F44="SS",'Fleet Tech - Tech'!E$10,IF($F44="BBV",'Fleet Tech - Tech'!E$11,IF($F44="CB",'Fleet Tech - Tech'!E$15,IF($F44="AE",'Fleet Tech - Tech'!E$16,IF($F44="IX",'Fleet Tech - Tech'!E$17,IF($F44="BM",'Fleet Tech - Tech'!E$13,IF($F44="AR",'Fleet Tech - Tech'!E$12,IF($F44="SSV",'Fleet Tech - Tech'!E$14,"nil"))))))))))))))),0)</f>
        <v>0</v>
      </c>
      <c r="AY44" s="12">
        <f>IF($H44=3,IF(OR($F44="DDV",$F44="DDG",$F44="DD"),'Fleet Tech - Tech'!F$3,IF($F44="CL",'Fleet Tech - Tech'!F$4,IF($F44="CA",'Fleet Tech - Tech'!F$5,IF($F44="BC",'Fleet Tech - Tech'!F$6,IF($F44="BB",'Fleet Tech - Tech'!F$7,IF($F44="CVL",'Fleet Tech - Tech'!F$8,IF($F44="CV",'Fleet Tech - Tech'!F$9,IF($F44="SS",'Fleet Tech - Tech'!F$10,IF($F44="BBV",'Fleet Tech - Tech'!F$11,IF($F44="CB",'Fleet Tech - Tech'!F$15,IF($F44="AE",'Fleet Tech - Tech'!F$16,IF($F44="IX",'Fleet Tech - Tech'!F$17,IF($F44="BM",'Fleet Tech - Tech'!F$13,IF($F44="AR",'Fleet Tech - Tech'!F$12,IF($F44="SSV",'Fleet Tech - Tech'!F$14,"nil"))))))))))))))),0)</f>
        <v>0</v>
      </c>
      <c r="AZ44" s="12">
        <f>IF($H44=3,IF(OR($F44="DDV",$F44="DDG",$F44="DD"),'Fleet Tech - Tech'!G$3,IF($F44="CL",'Fleet Tech - Tech'!G$4,IF($F44="CA",'Fleet Tech - Tech'!G$5,IF($F44="BC",'Fleet Tech - Tech'!G$6,IF($F44="BB",'Fleet Tech - Tech'!G$7,IF($F44="CVL",'Fleet Tech - Tech'!G$8,IF($F44="CV",'Fleet Tech - Tech'!G$9,IF($F44="SS",'Fleet Tech - Tech'!G$10,IF($F44="BBV",'Fleet Tech - Tech'!G$11,IF($F44="CB",'Fleet Tech - Tech'!G$15,IF($F44="AE",'Fleet Tech - Tech'!G$16,IF($F44="IX",'Fleet Tech - Tech'!G$17,IF($F44="BM",'Fleet Tech - Tech'!G$13,IF($F44="AR",'Fleet Tech - Tech'!G$12,IF($F44="SSV",'Fleet Tech - Tech'!G$14,"nil"))))))))))))))),0)</f>
        <v>0</v>
      </c>
      <c r="BA44" s="12">
        <f>IF($H44=3,IF(OR($F44="DDV",$F44="DDG",$F44="DD"),'Fleet Tech - Tech'!H$3,IF($F44="CL",'Fleet Tech - Tech'!H$4,IF($F44="CA",'Fleet Tech - Tech'!H$5,IF($F44="BC",'Fleet Tech - Tech'!H$6,IF($F44="BB",'Fleet Tech - Tech'!H$7,IF($F44="CVL",'Fleet Tech - Tech'!H$8,IF($F44="CV",'Fleet Tech - Tech'!H$9,IF($F44="SS",'Fleet Tech - Tech'!H$10,IF($F44="BBV",'Fleet Tech - Tech'!H$11,IF($F44="CB",'Fleet Tech - Tech'!H$15,IF($F44="AE",'Fleet Tech - Tech'!H$16,IF($F44="IX",'Fleet Tech - Tech'!H$17,IF($F44="BM",'Fleet Tech - Tech'!H$13,IF($F44="AR",'Fleet Tech - Tech'!H$12,IF($F44="SSV",'Fleet Tech - Tech'!H$14,"nil"))))))))))))))),0)</f>
        <v>0</v>
      </c>
      <c r="BB44" s="12">
        <f>IF($H44=3,IF(OR($F44="DDV",$F44="DDG",$F44="DD"),'Fleet Tech - Tech'!I$3,IF($F44="CL",'Fleet Tech - Tech'!I$4,IF($F44="CA",'Fleet Tech - Tech'!I$5,IF($F44="BC",'Fleet Tech - Tech'!I$6,IF($F44="BB",'Fleet Tech - Tech'!I$7,IF($F44="CVL",'Fleet Tech - Tech'!I$8,IF($F44="CV",'Fleet Tech - Tech'!I$9,IF($F44="SS",'Fleet Tech - Tech'!I$10,IF($F44="BBV",'Fleet Tech - Tech'!I$11,IF($F44="CB",'Fleet Tech - Tech'!I$15,IF($F44="AE",'Fleet Tech - Tech'!I$16,IF($F44="IX",'Fleet Tech - Tech'!I$17,IF($F44="BM",'Fleet Tech - Tech'!I$13,IF($F44="AR",'Fleet Tech - Tech'!I$12,IF($F44="SSV",'Fleet Tech - Tech'!I$14,"nil"))))))))))))))),0)</f>
        <v>0</v>
      </c>
      <c r="BC44" s="12">
        <f>IF($H44=3,IF(OR($F44="DDV",$F44="DDG",$F44="DD"),'Fleet Tech - Tech'!J$3,IF($F44="CL",'Fleet Tech - Tech'!J$4,IF($F44="CA",'Fleet Tech - Tech'!J$5,IF($F44="BC",'Fleet Tech - Tech'!J$6,IF($F44="BB",'Fleet Tech - Tech'!J$7,IF($F44="CVL",'Fleet Tech - Tech'!J$8,IF($F44="CV",'Fleet Tech - Tech'!J$9,IF($F44="SS",'Fleet Tech - Tech'!J$10,IF($F44="BBV",'Fleet Tech - Tech'!J$11,IF($F44="CB",'Fleet Tech - Tech'!J$15,IF($F44="AE",'Fleet Tech - Tech'!J$16,IF($F44="IX",'Fleet Tech - Tech'!J$17,IF($F44="BM",'Fleet Tech - Tech'!J$13,IF($F44="AR",'Fleet Tech - Tech'!J$12,IF($F44="SSV",'Fleet Tech - Tech'!J$14,"nil"))))))))))))))),0)</f>
        <v>0</v>
      </c>
      <c r="BD44" s="12">
        <f>IF($H44=3,IF(OR($F44="DDV",$F44="DDG",$F44="DD"),'Fleet Tech - Tech'!K$3,IF($F44="CL",'Fleet Tech - Tech'!K$4,IF($F44="CA",'Fleet Tech - Tech'!K$5,IF($F44="BC",'Fleet Tech - Tech'!K$6,IF($F44="BB",'Fleet Tech - Tech'!K$7,IF($F44="CVL",'Fleet Tech - Tech'!K$8,IF($F44="CV",'Fleet Tech - Tech'!K$9,IF($F44="SS",'Fleet Tech - Tech'!K$10,IF($F44="BBV",'Fleet Tech - Tech'!K$11,IF($F44="CB",'Fleet Tech - Tech'!K$15,IF($F44="AE",'Fleet Tech - Tech'!K$16,IF($F44="IX",'Fleet Tech - Tech'!K$17,IF($F44="BM",'Fleet Tech - Tech'!K$13,IF($F44="AR",'Fleet Tech - Tech'!K$12,IF($F44="SSV",'Fleet Tech - Tech'!K$14,"nil"))))))))))))))),0)</f>
        <v>0</v>
      </c>
      <c r="BE44" s="12">
        <f>IF($H44=3,IF(OR($F44="DDV",$F44="DDG",$F44="DD"),'Fleet Tech - Tech'!L$3,IF($F44="CL",'Fleet Tech - Tech'!L$4,IF($F44="CA",'Fleet Tech - Tech'!L$5,IF($F44="BC",'Fleet Tech - Tech'!L$6,IF($F44="BB",'Fleet Tech - Tech'!L$7,IF($F44="CVL",'Fleet Tech - Tech'!L$8,IF($F44="CV",'Fleet Tech - Tech'!L$9,IF($F44="SS",'Fleet Tech - Tech'!L$10,IF($F44="BBV",'Fleet Tech - Tech'!L$11,IF($F44="CB",'Fleet Tech - Tech'!L$15,IF($F44="AE",'Fleet Tech - Tech'!L$16,IF($F44="IX",'Fleet Tech - Tech'!L$17,IF($F44="BM",'Fleet Tech - Tech'!L$13,IF($F44="AR",'Fleet Tech - Tech'!L$12,IF($F44="SSV",'Fleet Tech - Tech'!L$14,"nil"))))))))))))))),0)</f>
        <v>0</v>
      </c>
      <c r="BF44" s="12">
        <f>IF($H44=3,IF(OR($F44="DDV",$F44="DDG",$F44="DD"),'Fleet Tech - Tech'!M$3,IF($F44="CL",'Fleet Tech - Tech'!M$4,IF($F44="CA",'Fleet Tech - Tech'!M$5,IF($F44="BC",'Fleet Tech - Tech'!M$6,IF($F44="BB",'Fleet Tech - Tech'!M$7,IF($F44="CVL",'Fleet Tech - Tech'!M$8,IF($F44="CV",'Fleet Tech - Tech'!M$9,IF($F44="SS",'Fleet Tech - Tech'!M$10,IF($F44="BBV",'Fleet Tech - Tech'!M$11,IF($F44="CB",'Fleet Tech - Tech'!M$15,IF($F44="AE",'Fleet Tech - Tech'!M$16,IF($F44="IX",'Fleet Tech - Tech'!M$17,IF($F44="BM",'Fleet Tech - Tech'!M$13,IF($F44="AR",'Fleet Tech - Tech'!M$12,IF($F44="SSV",'Fleet Tech - Tech'!M$14,"nil"))))))))))))))),0)</f>
        <v>0</v>
      </c>
      <c r="BG44" s="12">
        <f>IF($H44=3,IF(OR($F44="DDV",$F44="DDG",$F44="DD"),'Fleet Tech - Tech'!N$3,IF($F44="CL",'Fleet Tech - Tech'!N$4,IF($F44="CA",'Fleet Tech - Tech'!N$5,IF($F44="BC",'Fleet Tech - Tech'!N$6,IF($F44="BB",'Fleet Tech - Tech'!N$7,IF($F44="CVL",'Fleet Tech - Tech'!N$8,IF($F44="CV",'Fleet Tech - Tech'!N$9,IF($F44="SS",'Fleet Tech - Tech'!N$10,IF($F44="BBV",'Fleet Tech - Tech'!N$11,IF($F44="CB",'Fleet Tech - Tech'!N$15,IF($F44="AE",'Fleet Tech - Tech'!N$16,IF($F44="IX",'Fleet Tech - Tech'!N$17,IF($F44="BM",'Fleet Tech - Tech'!N$13,IF($F44="AR",'Fleet Tech - Tech'!N$12,IF($F44="SSV",'Fleet Tech - Tech'!N$14,"nil"))))))))))))))),0)</f>
        <v>0</v>
      </c>
      <c r="BH44" s="28"/>
      <c r="BI44" s="12">
        <v>5637</v>
      </c>
      <c r="BJ44" s="12">
        <v>235</v>
      </c>
      <c r="BK44" s="12">
        <v>163</v>
      </c>
      <c r="BL44" s="12">
        <v>0</v>
      </c>
      <c r="BM44" s="12">
        <v>19</v>
      </c>
      <c r="BN44" s="12">
        <v>0</v>
      </c>
      <c r="BO44" s="12">
        <v>0</v>
      </c>
      <c r="BP44" s="12">
        <v>0</v>
      </c>
      <c r="BQ44" s="12">
        <v>28</v>
      </c>
      <c r="BR44" s="12">
        <v>13</v>
      </c>
      <c r="BS44" s="12">
        <v>95</v>
      </c>
      <c r="BT44" s="12">
        <v>27</v>
      </c>
      <c r="BU44" s="12">
        <v>56</v>
      </c>
      <c r="BV44" s="12">
        <v>335</v>
      </c>
      <c r="BW44" s="28"/>
      <c r="BX44" s="12">
        <v>4</v>
      </c>
      <c r="BY44" s="12">
        <v>3</v>
      </c>
      <c r="BZ44" s="12">
        <v>3</v>
      </c>
      <c r="CA44" s="12">
        <v>3</v>
      </c>
      <c r="CB44" s="12">
        <v>3</v>
      </c>
      <c r="CC44" s="12">
        <v>5</v>
      </c>
      <c r="CD44" s="12">
        <v>3</v>
      </c>
      <c r="CE44" s="12">
        <v>0</v>
      </c>
      <c r="CF44" s="12">
        <v>-1</v>
      </c>
      <c r="CG44" s="12">
        <v>-1</v>
      </c>
      <c r="CH44" s="12">
        <v>-1</v>
      </c>
      <c r="CI44" s="12">
        <v>-1</v>
      </c>
      <c r="CJ44" s="47"/>
      <c r="CK44" s="48">
        <f>IF(BX44=5,320,IF(BX44=4,195,IF(BX44=3,132,IF(BX44=2,90,IF(BX44=1,58,IF(BX44=-1,0,35))))))</f>
        <v>195</v>
      </c>
      <c r="CL44" s="48">
        <f>IF(BX44=5,20,IF(BX44=4,15,IF(BX44=3,12,IF(BX44=2,10,IF(BX44=1,8,IF(BX44=-1,0,5))))))</f>
        <v>15</v>
      </c>
      <c r="CM44" s="48">
        <f>IF(BZ44=5,320,IF(BZ44=4,195,IF(BZ44=3,132,IF(BZ44=2,90,IF(BZ44=1,58,IF(BZ44=-1,0,35))))))</f>
        <v>132</v>
      </c>
      <c r="CN44" s="48">
        <f>IF(BZ44=5,20,IF(BZ44=4,15,IF(BZ44=3,12,IF(BZ44=2,10,IF(BZ44=1,8,IF(BZ44=-1,0,5))))))</f>
        <v>12</v>
      </c>
      <c r="CO44" s="48">
        <f>IF(CB44=5,320,IF(CB44=4,195,IF(CB44=3,132,IF(CB44=2,90,IF(CB44=1,58,IF(CB44=-1,0,35))))))</f>
        <v>132</v>
      </c>
      <c r="CP44" s="48">
        <f>IF(CB44=5,20,IF(CB44=4,15,IF(CB44=3,12,IF(CB44=2,10,IF(CB44=1,8,IF(CB44=-1,0,5))))))</f>
        <v>12</v>
      </c>
      <c r="CQ44" s="48">
        <f>IF(CD44=5,320,IF(CD44=4,195,IF(CD44=3,132,IF(CD44=2,90,IF(CD44=1,58,IF(CD44=-1,0,35))))))</f>
        <v>132</v>
      </c>
      <c r="CR44" s="48">
        <f>IF(CD44=5,20,IF(CD44=4,15,IF(CD44=3,12,IF(CD44=2,10,IF(CD44=1,8,IF(CD44=-1,0,5))))))</f>
        <v>12</v>
      </c>
      <c r="CS44" s="48">
        <f>IF(CF44=5,320,IF(CF44=4,195,IF(CF44=3,132,IF(CF44=2,90,IF(CF44=1,58,IF(CF44=-1,0,35))))))</f>
        <v>0</v>
      </c>
      <c r="CT44" s="48">
        <f>IF(CF44=5,20,IF(CF44=4,15,IF(CF44=3,12,IF(CF44=2,10,IF(CF44=1,8,IF(CF44=-1,0,5))))))</f>
        <v>0</v>
      </c>
      <c r="CU44" s="48">
        <f>IF(CH44=5,320,IF(CH44=4,195,IF(CH44=3,132,IF(CH44=2,90,IF(CH44=1,58,IF(CH44=-1,0,35))))))</f>
        <v>0</v>
      </c>
      <c r="CV44" s="48">
        <f>IF(CH44=5,20,IF(CH44=4,15,IF(CH44=3,12,IF(CH44=2,10,IF(CH44=1,8,IF(CH44=-1,0,5))))))</f>
        <v>0</v>
      </c>
      <c r="CW44" s="48">
        <f>IF(BY44&gt;10,(BY44/10)-ROUNDDOWN(BY44/10,0),0)+IF(CA44&gt;10,(CA44/10)-ROUNDDOWN(CA44/10,0),0)+IF(CC44&gt;10,(CC44/10)-ROUNDDOWN(CC44/10,0),0)+IF(CE44&gt;10,(CE44/10)-ROUNDDOWN(CE44/10,0),0)+IF(CG44&gt;10,(CG44/10)-ROUNDDOWN(CG44/10,0),0)+IF(CI44&gt;10,(CI44/10)-ROUNDDOWN(CI44/10,0),0)</f>
        <v>0</v>
      </c>
      <c r="CX44" s="48">
        <f>1+(CW44/10)</f>
        <v>1</v>
      </c>
    </row>
    <row r="45" ht="20.05" customHeight="1">
      <c r="A45" t="s" s="43">
        <v>323</v>
      </c>
      <c r="B45" s="49"/>
      <c r="C45" t="s" s="45">
        <v>73</v>
      </c>
      <c r="D45" s="13">
        <v>7</v>
      </c>
      <c r="E45" t="s" s="15">
        <v>232</v>
      </c>
      <c r="F45" t="s" s="15">
        <v>233</v>
      </c>
      <c r="G45" t="s" s="15">
        <v>282</v>
      </c>
      <c r="H45" s="12">
        <v>3</v>
      </c>
      <c r="I45" t="s" s="15">
        <v>235</v>
      </c>
      <c r="J45" s="12">
        <v>87</v>
      </c>
      <c r="K45" t="s" s="14">
        <v>236</v>
      </c>
      <c r="L45" t="s" s="15">
        <v>265</v>
      </c>
      <c r="M45" t="s" s="15">
        <v>22</v>
      </c>
      <c r="N45" s="46">
        <f>ROUND((SUM(AA45,T45:Y45,AC45:AE45,Z45*10)-AB45*15)*(IF(K45="Heavy",0.15,IF(K45="Medium",0,IF(K45="Light",-0.15,10)))+1),0)</f>
        <v>979</v>
      </c>
      <c r="O45" s="46">
        <v>3529</v>
      </c>
      <c r="P45" s="46">
        <f>ROUNDDOWN((BI45+AU45+AG45)/5,0)+(BJ45+AV45+AH45)+(BN45+AZ45+AL45)+(BO45+BA45+AM45)+(BK45+AW45+AI45)+(BS45+BE45+AQ45)+(BL45+AX45+AJ45)+(BQ45+BC45+AO45)+(2*((BT45+BF45+AR45)+(BU45+BG45+AS45)))+(CK45+CM45+CO45+CQ45+CS45+CU45)+(CL45*BY45)+(CN45*CA45)+(CP45+CC45)+(CR45+CE45)+(CT45+CG45)+(CV45+CI45)+BV45</f>
        <v>3619</v>
      </c>
      <c r="Q45" s="46">
        <f>ROUNDDOWN(((S45/5)+T45+X45+Y45+U45+AC45+V45+AA45+(2*(AD45+AE45))+CK45+CM45+CO45+CQ45+CS45+CU45+(CL45*BX45)+(CN45*BZ45)+(CP45*CB45)+(CR45*CD45)+(CT45*CF45)+(CV45*CH45))*CX45,0)</f>
        <v>3175</v>
      </c>
      <c r="R45" s="46">
        <f>ROUNDDOWN(AVERAGE(P45:Q45),0)</f>
        <v>3397</v>
      </c>
      <c r="S45" s="12">
        <f>AG45+AU45+BI45</f>
        <v>3037</v>
      </c>
      <c r="T45" s="12">
        <f>AH45+AV45+BJ45</f>
        <v>160</v>
      </c>
      <c r="U45" s="12">
        <f>AI45+AW45+BK45</f>
        <v>369</v>
      </c>
      <c r="V45" s="12">
        <f>AJ45+AX45+BL45</f>
        <v>142</v>
      </c>
      <c r="W45" s="12">
        <f>AK45+AY45+BM45</f>
        <v>70</v>
      </c>
      <c r="X45" s="12">
        <f>AL45+AZ45+BN45</f>
        <v>159</v>
      </c>
      <c r="Y45" s="12">
        <f>AM45+BA45+BO45</f>
        <v>0</v>
      </c>
      <c r="Z45" s="12">
        <f>AN45+BB45+BP45</f>
        <v>0</v>
      </c>
      <c r="AA45" s="12">
        <f>AO45+BC45+BQ45</f>
        <v>32</v>
      </c>
      <c r="AB45" s="12">
        <f>AP45+BD45+BR45</f>
        <v>11</v>
      </c>
      <c r="AC45" s="12">
        <f>AQ45+BE45+BS45</f>
        <v>165</v>
      </c>
      <c r="AD45" s="12">
        <f>AR45+BF45+BT45</f>
        <v>83</v>
      </c>
      <c r="AE45" s="12">
        <f>AS45+BG45+BU45</f>
        <v>137</v>
      </c>
      <c r="AF45" s="28"/>
      <c r="AG45" s="12">
        <v>0</v>
      </c>
      <c r="AH45" s="12">
        <v>56</v>
      </c>
      <c r="AI45" s="12">
        <v>45</v>
      </c>
      <c r="AJ45" s="12">
        <v>0</v>
      </c>
      <c r="AK45" s="12">
        <v>0</v>
      </c>
      <c r="AL45" s="12">
        <v>45</v>
      </c>
      <c r="AM45" s="12">
        <v>0</v>
      </c>
      <c r="AN45" s="12">
        <v>0</v>
      </c>
      <c r="AO45" s="12">
        <v>0</v>
      </c>
      <c r="AP45" s="12">
        <v>0</v>
      </c>
      <c r="AQ45" s="12">
        <v>54</v>
      </c>
      <c r="AR45" s="12">
        <v>0</v>
      </c>
      <c r="AS45" s="12">
        <v>0</v>
      </c>
      <c r="AT45" s="28"/>
      <c r="AU45" s="12">
        <f>IF($H45=3,IF(OR($F45="DDV",$F45="DDG",$F45="DD"),'Fleet Tech - Tech'!B$3,IF($F45="CL",'Fleet Tech - Tech'!B$4,IF($F45="CA",'Fleet Tech - Tech'!B$5,IF($F45="BC",'Fleet Tech - Tech'!B$6,IF($F45="BB",'Fleet Tech - Tech'!B$7,IF($F45="CVL",'Fleet Tech - Tech'!B$8,IF($F45="CV",'Fleet Tech - Tech'!B$9,IF($F45="SS",'Fleet Tech - Tech'!B$10,IF($F45="BBV",'Fleet Tech - Tech'!B$11,IF($F45="CB",'Fleet Tech - Tech'!B$15,IF($F45="AE",'Fleet Tech - Tech'!B$16,IF($F45="IX",'Fleet Tech - Tech'!B$17,IF($F45="BM",'Fleet Tech - Tech'!B$13,IF($F45="AR",'Fleet Tech - Tech'!B$12,IF($F45="SSV",'Fleet Tech - Tech'!B$14,"nil"))))))))))))))),0)</f>
        <v>43</v>
      </c>
      <c r="AV45" s="12">
        <f>IF($H45=3,IF(OR($F45="DDV",$F45="DDG",$F45="DD"),'Fleet Tech - Tech'!C$3,IF($F45="CL",'Fleet Tech - Tech'!C$4,IF($F45="CA",'Fleet Tech - Tech'!C$5,IF($F45="BC",'Fleet Tech - Tech'!C$6,IF($F45="BB",'Fleet Tech - Tech'!C$7,IF($F45="CVL",'Fleet Tech - Tech'!C$8,IF($F45="CV",'Fleet Tech - Tech'!C$9,IF($F45="SS",'Fleet Tech - Tech'!C$10,IF($F45="BBV",'Fleet Tech - Tech'!C$11,IF($F45="CB",'Fleet Tech - Tech'!C$15,IF($F45="AE",'Fleet Tech - Tech'!C$16,IF($F45="IX",'Fleet Tech - Tech'!C$17,IF($F45="BM",'Fleet Tech - Tech'!C$13,IF($F45="AR",'Fleet Tech - Tech'!C$12,IF($F45="SSV",'Fleet Tech - Tech'!C$14,"nil"))))))))))))))),0)</f>
        <v>2</v>
      </c>
      <c r="AW45" s="12">
        <f>IF($H45=3,IF(OR($F45="DDV",$F45="DDG",$F45="DD"),'Fleet Tech - Tech'!D$3,IF($F45="CL",'Fleet Tech - Tech'!D$4,IF($F45="CA",'Fleet Tech - Tech'!D$5,IF($F45="BC",'Fleet Tech - Tech'!D$6,IF($F45="BB",'Fleet Tech - Tech'!D$7,IF($F45="CVL",'Fleet Tech - Tech'!D$8,IF($F45="CV",'Fleet Tech - Tech'!D$9,IF($F45="SS",'Fleet Tech - Tech'!D$10,IF($F45="BBV",'Fleet Tech - Tech'!D$11,IF($F45="CB",'Fleet Tech - Tech'!D$15,IF($F45="AE",'Fleet Tech - Tech'!D$16,IF($F45="IX",'Fleet Tech - Tech'!D$17,IF($F45="BM",'Fleet Tech - Tech'!D$13,IF($F45="AR",'Fleet Tech - Tech'!D$12,IF($F45="SSV",'Fleet Tech - Tech'!D$14,"nil"))))))))))))))),0)</f>
        <v>11</v>
      </c>
      <c r="AX45" s="12">
        <f>IF($H45=3,IF(OR($F45="DDV",$F45="DDG",$F45="DD"),'Fleet Tech - Tech'!E$3,IF($F45="CL",'Fleet Tech - Tech'!E$4,IF($F45="CA",'Fleet Tech - Tech'!E$5,IF($F45="BC",'Fleet Tech - Tech'!E$6,IF($F45="BB",'Fleet Tech - Tech'!E$7,IF($F45="CVL",'Fleet Tech - Tech'!E$8,IF($F45="CV",'Fleet Tech - Tech'!E$9,IF($F45="SS",'Fleet Tech - Tech'!E$10,IF($F45="BBV",'Fleet Tech - Tech'!E$11,IF($F45="CB",'Fleet Tech - Tech'!E$15,IF($F45="AE",'Fleet Tech - Tech'!E$16,IF($F45="IX",'Fleet Tech - Tech'!E$17,IF($F45="BM",'Fleet Tech - Tech'!E$13,IF($F45="AR",'Fleet Tech - Tech'!E$12,IF($F45="SSV",'Fleet Tech - Tech'!E$14,"nil"))))))))))))))),0)</f>
        <v>3</v>
      </c>
      <c r="AY45" s="12">
        <f>IF($H45=3,IF(OR($F45="DDV",$F45="DDG",$F45="DD"),'Fleet Tech - Tech'!F$3,IF($F45="CL",'Fleet Tech - Tech'!F$4,IF($F45="CA",'Fleet Tech - Tech'!F$5,IF($F45="BC",'Fleet Tech - Tech'!F$6,IF($F45="BB",'Fleet Tech - Tech'!F$7,IF($F45="CVL",'Fleet Tech - Tech'!F$8,IF($F45="CV",'Fleet Tech - Tech'!F$9,IF($F45="SS",'Fleet Tech - Tech'!F$10,IF($F45="BBV",'Fleet Tech - Tech'!F$11,IF($F45="CB",'Fleet Tech - Tech'!F$15,IF($F45="AE",'Fleet Tech - Tech'!F$16,IF($F45="IX",'Fleet Tech - Tech'!F$17,IF($F45="BM",'Fleet Tech - Tech'!F$13,IF($F45="AR",'Fleet Tech - Tech'!F$12,IF($F45="SSV",'Fleet Tech - Tech'!F$14,"nil"))))))))))))))),0)</f>
        <v>0</v>
      </c>
      <c r="AZ45" s="12">
        <f>IF($H45=3,IF(OR($F45="DDV",$F45="DDG",$F45="DD"),'Fleet Tech - Tech'!G$3,IF($F45="CL",'Fleet Tech - Tech'!G$4,IF($F45="CA",'Fleet Tech - Tech'!G$5,IF($F45="BC",'Fleet Tech - Tech'!G$6,IF($F45="BB",'Fleet Tech - Tech'!G$7,IF($F45="CVL",'Fleet Tech - Tech'!G$8,IF($F45="CV",'Fleet Tech - Tech'!G$9,IF($F45="SS",'Fleet Tech - Tech'!G$10,IF($F45="BBV",'Fleet Tech - Tech'!G$11,IF($F45="CB",'Fleet Tech - Tech'!G$15,IF($F45="AE",'Fleet Tech - Tech'!G$16,IF($F45="IX",'Fleet Tech - Tech'!G$17,IF($F45="BM",'Fleet Tech - Tech'!G$13,IF($F45="AR",'Fleet Tech - Tech'!G$12,IF($F45="SSV",'Fleet Tech - Tech'!G$14,"nil"))))))))))))))),0)</f>
        <v>5</v>
      </c>
      <c r="BA45" s="12">
        <f>IF($H45=3,IF(OR($F45="DDV",$F45="DDG",$F45="DD"),'Fleet Tech - Tech'!H$3,IF($F45="CL",'Fleet Tech - Tech'!H$4,IF($F45="CA",'Fleet Tech - Tech'!H$5,IF($F45="BC",'Fleet Tech - Tech'!H$6,IF($F45="BB",'Fleet Tech - Tech'!H$7,IF($F45="CVL",'Fleet Tech - Tech'!H$8,IF($F45="CV",'Fleet Tech - Tech'!H$9,IF($F45="SS",'Fleet Tech - Tech'!H$10,IF($F45="BBV",'Fleet Tech - Tech'!H$11,IF($F45="CB",'Fleet Tech - Tech'!H$15,IF($F45="AE",'Fleet Tech - Tech'!H$16,IF($F45="IX",'Fleet Tech - Tech'!H$17,IF($F45="BM",'Fleet Tech - Tech'!H$13,IF($F45="AR",'Fleet Tech - Tech'!H$12,IF($F45="SSV",'Fleet Tech - Tech'!H$14,"nil"))))))))))))))),0)</f>
        <v>0</v>
      </c>
      <c r="BB45" s="12">
        <f>IF($H45=3,IF(OR($F45="DDV",$F45="DDG",$F45="DD"),'Fleet Tech - Tech'!I$3,IF($F45="CL",'Fleet Tech - Tech'!I$4,IF($F45="CA",'Fleet Tech - Tech'!I$5,IF($F45="BC",'Fleet Tech - Tech'!I$6,IF($F45="BB",'Fleet Tech - Tech'!I$7,IF($F45="CVL",'Fleet Tech - Tech'!I$8,IF($F45="CV",'Fleet Tech - Tech'!I$9,IF($F45="SS",'Fleet Tech - Tech'!I$10,IF($F45="BBV",'Fleet Tech - Tech'!I$11,IF($F45="CB",'Fleet Tech - Tech'!I$15,IF($F45="AE",'Fleet Tech - Tech'!I$16,IF($F45="IX",'Fleet Tech - Tech'!I$17,IF($F45="BM",'Fleet Tech - Tech'!I$13,IF($F45="AR",'Fleet Tech - Tech'!I$12,IF($F45="SSV",'Fleet Tech - Tech'!I$14,"nil"))))))))))))))),0)</f>
        <v>0</v>
      </c>
      <c r="BC45" s="12">
        <f>IF($H45=3,IF(OR($F45="DDV",$F45="DDG",$F45="DD"),'Fleet Tech - Tech'!J$3,IF($F45="CL",'Fleet Tech - Tech'!J$4,IF($F45="CA",'Fleet Tech - Tech'!J$5,IF($F45="BC",'Fleet Tech - Tech'!J$6,IF($F45="BB",'Fleet Tech - Tech'!J$7,IF($F45="CVL",'Fleet Tech - Tech'!J$8,IF($F45="CV",'Fleet Tech - Tech'!J$9,IF($F45="SS",'Fleet Tech - Tech'!J$10,IF($F45="BBV",'Fleet Tech - Tech'!J$11,IF($F45="CB",'Fleet Tech - Tech'!J$15,IF($F45="AE",'Fleet Tech - Tech'!J$16,IF($F45="IX",'Fleet Tech - Tech'!J$17,IF($F45="BM",'Fleet Tech - Tech'!J$13,IF($F45="AR",'Fleet Tech - Tech'!J$12,IF($F45="SSV",'Fleet Tech - Tech'!J$14,"nil"))))))))))))))),0)</f>
        <v>0</v>
      </c>
      <c r="BD45" s="12">
        <f>IF($H45=3,IF(OR($F45="DDV",$F45="DDG",$F45="DD"),'Fleet Tech - Tech'!K$3,IF($F45="CL",'Fleet Tech - Tech'!K$4,IF($F45="CA",'Fleet Tech - Tech'!K$5,IF($F45="BC",'Fleet Tech - Tech'!K$6,IF($F45="BB",'Fleet Tech - Tech'!K$7,IF($F45="CVL",'Fleet Tech - Tech'!K$8,IF($F45="CV",'Fleet Tech - Tech'!K$9,IF($F45="SS",'Fleet Tech - Tech'!K$10,IF($F45="BBV",'Fleet Tech - Tech'!K$11,IF($F45="CB",'Fleet Tech - Tech'!K$15,IF($F45="AE",'Fleet Tech - Tech'!K$16,IF($F45="IX",'Fleet Tech - Tech'!K$17,IF($F45="BM",'Fleet Tech - Tech'!K$13,IF($F45="AR",'Fleet Tech - Tech'!K$12,IF($F45="SSV",'Fleet Tech - Tech'!K$14,"nil"))))))))))))))),0)</f>
        <v>0</v>
      </c>
      <c r="BE45" s="12">
        <f>IF($H45=3,IF(OR($F45="DDV",$F45="DDG",$F45="DD"),'Fleet Tech - Tech'!L$3,IF($F45="CL",'Fleet Tech - Tech'!L$4,IF($F45="CA",'Fleet Tech - Tech'!L$5,IF($F45="BC",'Fleet Tech - Tech'!L$6,IF($F45="BB",'Fleet Tech - Tech'!L$7,IF($F45="CVL",'Fleet Tech - Tech'!L$8,IF($F45="CV",'Fleet Tech - Tech'!L$9,IF($F45="SS",'Fleet Tech - Tech'!L$10,IF($F45="BBV",'Fleet Tech - Tech'!L$11,IF($F45="CB",'Fleet Tech - Tech'!L$15,IF($F45="AE",'Fleet Tech - Tech'!L$16,IF($F45="IX",'Fleet Tech - Tech'!L$17,IF($F45="BM",'Fleet Tech - Tech'!L$13,IF($F45="AR",'Fleet Tech - Tech'!L$12,IF($F45="SSV",'Fleet Tech - Tech'!L$14,"nil"))))))))))))))),0)</f>
        <v>5</v>
      </c>
      <c r="BF45" s="12">
        <f>IF($H45=3,IF(OR($F45="DDV",$F45="DDG",$F45="DD"),'Fleet Tech - Tech'!M$3,IF($F45="CL",'Fleet Tech - Tech'!M$4,IF($F45="CA",'Fleet Tech - Tech'!M$5,IF($F45="BC",'Fleet Tech - Tech'!M$6,IF($F45="BB",'Fleet Tech - Tech'!M$7,IF($F45="CVL",'Fleet Tech - Tech'!M$8,IF($F45="CV",'Fleet Tech - Tech'!M$9,IF($F45="SS",'Fleet Tech - Tech'!M$10,IF($F45="BBV",'Fleet Tech - Tech'!M$11,IF($F45="CB",'Fleet Tech - Tech'!M$15,IF($F45="AE",'Fleet Tech - Tech'!M$16,IF($F45="IX",'Fleet Tech - Tech'!M$17,IF($F45="BM",'Fleet Tech - Tech'!M$13,IF($F45="AR",'Fleet Tech - Tech'!M$12,IF($F45="SSV",'Fleet Tech - Tech'!M$14,"nil"))))))))))))))),0)</f>
        <v>0</v>
      </c>
      <c r="BG45" s="12">
        <f>IF($H45=3,IF(OR($F45="DDV",$F45="DDG",$F45="DD"),'Fleet Tech - Tech'!N$3,IF($F45="CL",'Fleet Tech - Tech'!N$4,IF($F45="CA",'Fleet Tech - Tech'!N$5,IF($F45="BC",'Fleet Tech - Tech'!N$6,IF($F45="BB",'Fleet Tech - Tech'!N$7,IF($F45="CVL",'Fleet Tech - Tech'!N$8,IF($F45="CV",'Fleet Tech - Tech'!N$9,IF($F45="SS",'Fleet Tech - Tech'!N$10,IF($F45="BBV",'Fleet Tech - Tech'!N$11,IF($F45="CB",'Fleet Tech - Tech'!N$15,IF($F45="AE",'Fleet Tech - Tech'!N$16,IF($F45="IX",'Fleet Tech - Tech'!N$17,IF($F45="BM",'Fleet Tech - Tech'!N$13,IF($F45="AR",'Fleet Tech - Tech'!N$12,IF($F45="SSV",'Fleet Tech - Tech'!N$14,"nil"))))))))))))))),0)</f>
        <v>6</v>
      </c>
      <c r="BH45" s="28"/>
      <c r="BI45" s="12">
        <v>2994</v>
      </c>
      <c r="BJ45" s="12">
        <v>102</v>
      </c>
      <c r="BK45" s="12">
        <v>313</v>
      </c>
      <c r="BL45" s="12">
        <v>139</v>
      </c>
      <c r="BM45" s="12">
        <v>70</v>
      </c>
      <c r="BN45" s="12">
        <v>109</v>
      </c>
      <c r="BO45" s="12">
        <v>0</v>
      </c>
      <c r="BP45" s="12">
        <v>0</v>
      </c>
      <c r="BQ45" s="12">
        <v>32</v>
      </c>
      <c r="BR45" s="12">
        <v>11</v>
      </c>
      <c r="BS45" s="12">
        <v>106</v>
      </c>
      <c r="BT45" s="12">
        <v>83</v>
      </c>
      <c r="BU45" s="12">
        <v>131</v>
      </c>
      <c r="BV45" s="12">
        <v>335</v>
      </c>
      <c r="BW45" s="28"/>
      <c r="BX45" s="12">
        <v>4</v>
      </c>
      <c r="BY45" s="12">
        <v>10</v>
      </c>
      <c r="BZ45" s="12">
        <v>4</v>
      </c>
      <c r="CA45" s="12">
        <v>10</v>
      </c>
      <c r="CB45" s="12">
        <v>4</v>
      </c>
      <c r="CC45" s="12">
        <v>10</v>
      </c>
      <c r="CD45" s="12">
        <v>3</v>
      </c>
      <c r="CE45" s="12">
        <v>7</v>
      </c>
      <c r="CF45" s="12">
        <v>3</v>
      </c>
      <c r="CG45" s="12">
        <v>6</v>
      </c>
      <c r="CH45" s="12">
        <v>-1</v>
      </c>
      <c r="CI45" s="12">
        <v>-1</v>
      </c>
      <c r="CJ45" s="47"/>
      <c r="CK45" s="48">
        <f>IF(BX45=5,320,IF(BX45=4,195,IF(BX45=3,132,IF(BX45=2,90,IF(BX45=1,58,IF(BX45=-1,0,35))))))</f>
        <v>195</v>
      </c>
      <c r="CL45" s="48">
        <f>IF(BX45=5,20,IF(BX45=4,15,IF(BX45=3,12,IF(BX45=2,10,IF(BX45=1,8,IF(BX45=-1,0,5))))))</f>
        <v>15</v>
      </c>
      <c r="CM45" s="48">
        <f>IF(BZ45=5,320,IF(BZ45=4,195,IF(BZ45=3,132,IF(BZ45=2,90,IF(BZ45=1,58,IF(BZ45=-1,0,35))))))</f>
        <v>195</v>
      </c>
      <c r="CN45" s="48">
        <f>IF(BZ45=5,20,IF(BZ45=4,15,IF(BZ45=3,12,IF(BZ45=2,10,IF(BZ45=1,8,IF(BZ45=-1,0,5))))))</f>
        <v>15</v>
      </c>
      <c r="CO45" s="48">
        <f>IF(CB45=5,320,IF(CB45=4,195,IF(CB45=3,132,IF(CB45=2,90,IF(CB45=1,58,IF(CB45=-1,0,35))))))</f>
        <v>195</v>
      </c>
      <c r="CP45" s="48">
        <f>IF(CB45=5,20,IF(CB45=4,15,IF(CB45=3,12,IF(CB45=2,10,IF(CB45=1,8,IF(CB45=-1,0,5))))))</f>
        <v>15</v>
      </c>
      <c r="CQ45" s="48">
        <f>IF(CD45=5,320,IF(CD45=4,195,IF(CD45=3,132,IF(CD45=2,90,IF(CD45=1,58,IF(CD45=-1,0,35))))))</f>
        <v>132</v>
      </c>
      <c r="CR45" s="48">
        <f>IF(CD45=5,20,IF(CD45=4,15,IF(CD45=3,12,IF(CD45=2,10,IF(CD45=1,8,IF(CD45=-1,0,5))))))</f>
        <v>12</v>
      </c>
      <c r="CS45" s="48">
        <f>IF(CF45=5,320,IF(CF45=4,195,IF(CF45=3,132,IF(CF45=2,90,IF(CF45=1,58,IF(CF45=-1,0,35))))))</f>
        <v>132</v>
      </c>
      <c r="CT45" s="48">
        <f>IF(CF45=5,20,IF(CF45=4,15,IF(CF45=3,12,IF(CF45=2,10,IF(CF45=1,8,IF(CF45=-1,0,5))))))</f>
        <v>12</v>
      </c>
      <c r="CU45" s="48">
        <f>IF(CH45=5,320,IF(CH45=4,195,IF(CH45=3,132,IF(CH45=2,90,IF(CH45=1,58,IF(CH45=-1,0,35))))))</f>
        <v>0</v>
      </c>
      <c r="CV45" s="48">
        <f>IF(CH45=5,20,IF(CH45=4,15,IF(CH45=3,12,IF(CH45=2,10,IF(CH45=1,8,IF(CH45=-1,0,5))))))</f>
        <v>0</v>
      </c>
      <c r="CW45" s="48">
        <f>IF(BY45&gt;10,(BY45/10)-ROUNDDOWN(BY45/10,0),0)+IF(CA45&gt;10,(CA45/10)-ROUNDDOWN(CA45/10,0),0)+IF(CC45&gt;10,(CC45/10)-ROUNDDOWN(CC45/10,0),0)+IF(CE45&gt;10,(CE45/10)-ROUNDDOWN(CE45/10,0),0)+IF(CG45&gt;10,(CG45/10)-ROUNDDOWN(CG45/10,0),0)+IF(CI45&gt;10,(CI45/10)-ROUNDDOWN(CI45/10,0),0)</f>
        <v>0</v>
      </c>
      <c r="CX45" s="48">
        <f>1+(CW45/10)</f>
        <v>1</v>
      </c>
    </row>
    <row r="46" ht="20.05" customHeight="1">
      <c r="A46" t="s" s="43">
        <v>324</v>
      </c>
      <c r="B46" s="49"/>
      <c r="C46" t="s" s="45">
        <v>73</v>
      </c>
      <c r="D46" s="13">
        <v>7</v>
      </c>
      <c r="E46" t="s" s="15">
        <v>240</v>
      </c>
      <c r="F46" t="s" s="15">
        <v>297</v>
      </c>
      <c r="G46" t="s" s="15">
        <v>282</v>
      </c>
      <c r="H46" s="12">
        <v>3</v>
      </c>
      <c r="I46" t="s" s="15">
        <v>279</v>
      </c>
      <c r="J46" s="12">
        <v>84</v>
      </c>
      <c r="K46" t="s" s="14">
        <v>242</v>
      </c>
      <c r="L46" t="s" s="15">
        <v>265</v>
      </c>
      <c r="M46" t="s" s="15">
        <v>27</v>
      </c>
      <c r="N46" s="46">
        <f>ROUND((SUM(AA46,T46:Y46,AC46:AE46,Z46*10)-AB46*15)*(IF(K46="Heavy",0.15,IF(K46="Medium",0,IF(K46="Light",-0.15,10)))+1),0)</f>
        <v>726</v>
      </c>
      <c r="O46" s="46">
        <v>2191</v>
      </c>
      <c r="P46" s="46">
        <f>ROUNDDOWN((BI46+AU46+AG46)/5,0)+(BJ46+AV46+AH46)+(BN46+AZ46+AL46)+(BO46+BA46+AM46)+(BK46+AW46+AI46)+(BS46+BE46+AQ46)+(BL46+AX46+AJ46)+(BQ46+BC46+AO46)+(2*((BT46+BF46+AR46)+(BU46+BG46+AS46)))+(CK46+CM46+CO46+CQ46+CS46+CU46)+(CL46*BY46)+(CN46*CA46)+(CP46+CC46)+(CR46+CE46)+(CT46+CG46)+(CV46+CI46)+BV46</f>
        <v>2239</v>
      </c>
      <c r="Q46" s="46">
        <f>ROUNDDOWN(((S46/5)+T46+X46+Y46+U46+AC46+V46+AA46+(2*(AD46+AE46))+CK46+CM46+CO46+CQ46+CS46+CU46+(CL46*BX46)+(CN46*BZ46)+(CP46*CB46)+(CR46*CD46)+(CT46*CF46)+(CV46*CH46))*CX46,0)</f>
        <v>2055</v>
      </c>
      <c r="R46" s="46">
        <f>ROUNDDOWN(AVERAGE(P46:Q46),0)</f>
        <v>2147</v>
      </c>
      <c r="S46" s="12">
        <f>AG46+AU46+BI46</f>
        <v>4027</v>
      </c>
      <c r="T46" s="12">
        <f>AH46+AV46+BJ46</f>
        <v>0</v>
      </c>
      <c r="U46" s="12">
        <f>AI46+AW46+BK46</f>
        <v>212</v>
      </c>
      <c r="V46" s="12">
        <f>AJ46+AX46+BL46</f>
        <v>108</v>
      </c>
      <c r="W46" s="12">
        <f>AK46+AY46+BM46</f>
        <v>71</v>
      </c>
      <c r="X46" s="12">
        <f>AL46+AZ46+BN46</f>
        <v>0</v>
      </c>
      <c r="Y46" s="12">
        <f>AM46+BA46+BO46</f>
        <v>233</v>
      </c>
      <c r="Z46" s="12">
        <f>AN46+BB46+BP46</f>
        <v>0</v>
      </c>
      <c r="AA46" s="12">
        <f>AO46+BC46+BQ46</f>
        <v>29</v>
      </c>
      <c r="AB46" s="12">
        <f>AP46+BD46+BR46</f>
        <v>9</v>
      </c>
      <c r="AC46" s="12">
        <f>AQ46+BE46+BS46</f>
        <v>84</v>
      </c>
      <c r="AD46" s="12">
        <f>AR46+BF46+BT46</f>
        <v>54</v>
      </c>
      <c r="AE46" s="12">
        <f>AS46+BG46+BU46</f>
        <v>70</v>
      </c>
      <c r="AF46" s="28"/>
      <c r="AG46" s="12">
        <v>0</v>
      </c>
      <c r="AH46" s="12">
        <v>0</v>
      </c>
      <c r="AI46" s="12">
        <v>0</v>
      </c>
      <c r="AJ46" s="12">
        <v>0</v>
      </c>
      <c r="AK46" s="12">
        <v>0</v>
      </c>
      <c r="AL46" s="12">
        <v>0</v>
      </c>
      <c r="AM46" s="12">
        <v>50</v>
      </c>
      <c r="AN46" s="12">
        <v>0</v>
      </c>
      <c r="AO46" s="12">
        <v>0</v>
      </c>
      <c r="AP46" s="12">
        <v>0</v>
      </c>
      <c r="AQ46" s="12">
        <v>0</v>
      </c>
      <c r="AR46" s="12">
        <v>0</v>
      </c>
      <c r="AS46" s="12">
        <v>0</v>
      </c>
      <c r="AT46" s="28"/>
      <c r="AU46" s="12">
        <f>IF($H46=3,IF(OR($F46="DDV",$F46="DDG",$F46="DD"),'Fleet Tech - Tech'!B$3,IF($F46="CL",'Fleet Tech - Tech'!B$4,IF($F46="CA",'Fleet Tech - Tech'!B$5,IF($F46="BC",'Fleet Tech - Tech'!B$6,IF($F46="BB",'Fleet Tech - Tech'!B$7,IF($F46="CVL",'Fleet Tech - Tech'!B$8,IF($F46="CV",'Fleet Tech - Tech'!B$9,IF($F46="SS",'Fleet Tech - Tech'!B$10,IF($F46="BBV",'Fleet Tech - Tech'!B$11,IF($F46="CB",'Fleet Tech - Tech'!B$15,IF($F46="AE",'Fleet Tech - Tech'!B$16,IF($F46="IX",'Fleet Tech - Tech'!B$17,IF($F46="BM",'Fleet Tech - Tech'!B$13,IF($F46="AR",'Fleet Tech - Tech'!B$12,IF($F46="SSV",'Fleet Tech - Tech'!B$14,"nil"))))))))))))))),0)</f>
        <v>49</v>
      </c>
      <c r="AV46" s="12">
        <f>IF($H46=3,IF(OR($F46="DDV",$F46="DDG",$F46="DD"),'Fleet Tech - Tech'!C$3,IF($F46="CL",'Fleet Tech - Tech'!C$4,IF($F46="CA",'Fleet Tech - Tech'!C$5,IF($F46="BC",'Fleet Tech - Tech'!C$6,IF($F46="BB",'Fleet Tech - Tech'!C$7,IF($F46="CVL",'Fleet Tech - Tech'!C$8,IF($F46="CV",'Fleet Tech - Tech'!C$9,IF($F46="SS",'Fleet Tech - Tech'!C$10,IF($F46="BBV",'Fleet Tech - Tech'!C$11,IF($F46="CB",'Fleet Tech - Tech'!C$15,IF($F46="AE",'Fleet Tech - Tech'!C$16,IF($F46="IX",'Fleet Tech - Tech'!C$17,IF($F46="BM",'Fleet Tech - Tech'!C$13,IF($F46="AR",'Fleet Tech - Tech'!C$12,IF($F46="SSV",'Fleet Tech - Tech'!C$14,"nil"))))))))))))))),0)</f>
        <v>0</v>
      </c>
      <c r="AW46" s="12">
        <f>IF($H46=3,IF(OR($F46="DDV",$F46="DDG",$F46="DD"),'Fleet Tech - Tech'!D$3,IF($F46="CL",'Fleet Tech - Tech'!D$4,IF($F46="CA",'Fleet Tech - Tech'!D$5,IF($F46="BC",'Fleet Tech - Tech'!D$6,IF($F46="BB",'Fleet Tech - Tech'!D$7,IF($F46="CVL",'Fleet Tech - Tech'!D$8,IF($F46="CV",'Fleet Tech - Tech'!D$9,IF($F46="SS",'Fleet Tech - Tech'!D$10,IF($F46="BBV",'Fleet Tech - Tech'!D$11,IF($F46="CB",'Fleet Tech - Tech'!D$15,IF($F46="AE",'Fleet Tech - Tech'!D$16,IF($F46="IX",'Fleet Tech - Tech'!D$17,IF($F46="BM",'Fleet Tech - Tech'!D$13,IF($F46="AR",'Fleet Tech - Tech'!D$12,IF($F46="SSV",'Fleet Tech - Tech'!D$14,"nil"))))))))))))))),0)</f>
        <v>0</v>
      </c>
      <c r="AX46" s="12">
        <f>IF($H46=3,IF(OR($F46="DDV",$F46="DDG",$F46="DD"),'Fleet Tech - Tech'!E$3,IF($F46="CL",'Fleet Tech - Tech'!E$4,IF($F46="CA",'Fleet Tech - Tech'!E$5,IF($F46="BC",'Fleet Tech - Tech'!E$6,IF($F46="BB",'Fleet Tech - Tech'!E$7,IF($F46="CVL",'Fleet Tech - Tech'!E$8,IF($F46="CV",'Fleet Tech - Tech'!E$9,IF($F46="SS",'Fleet Tech - Tech'!E$10,IF($F46="BBV",'Fleet Tech - Tech'!E$11,IF($F46="CB",'Fleet Tech - Tech'!E$15,IF($F46="AE",'Fleet Tech - Tech'!E$16,IF($F46="IX",'Fleet Tech - Tech'!E$17,IF($F46="BM",'Fleet Tech - Tech'!E$13,IF($F46="AR",'Fleet Tech - Tech'!E$12,IF($F46="SSV",'Fleet Tech - Tech'!E$14,"nil"))))))))))))))),0)</f>
        <v>18</v>
      </c>
      <c r="AY46" s="12">
        <f>IF($H46=3,IF(OR($F46="DDV",$F46="DDG",$F46="DD"),'Fleet Tech - Tech'!F$3,IF($F46="CL",'Fleet Tech - Tech'!F$4,IF($F46="CA",'Fleet Tech - Tech'!F$5,IF($F46="BC",'Fleet Tech - Tech'!F$6,IF($F46="BB",'Fleet Tech - Tech'!F$7,IF($F46="CVL",'Fleet Tech - Tech'!F$8,IF($F46="CV",'Fleet Tech - Tech'!F$9,IF($F46="SS",'Fleet Tech - Tech'!F$10,IF($F46="BBV",'Fleet Tech - Tech'!F$11,IF($F46="CB",'Fleet Tech - Tech'!F$15,IF($F46="AE",'Fleet Tech - Tech'!F$16,IF($F46="IX",'Fleet Tech - Tech'!F$17,IF($F46="BM",'Fleet Tech - Tech'!F$13,IF($F46="AR",'Fleet Tech - Tech'!F$12,IF($F46="SSV",'Fleet Tech - Tech'!F$14,"nil"))))))))))))))),0)</f>
        <v>0</v>
      </c>
      <c r="AZ46" s="12">
        <f>IF($H46=3,IF(OR($F46="DDV",$F46="DDG",$F46="DD"),'Fleet Tech - Tech'!G$3,IF($F46="CL",'Fleet Tech - Tech'!G$4,IF($F46="CA",'Fleet Tech - Tech'!G$5,IF($F46="BC",'Fleet Tech - Tech'!G$6,IF($F46="BB",'Fleet Tech - Tech'!G$7,IF($F46="CVL",'Fleet Tech - Tech'!G$8,IF($F46="CV",'Fleet Tech - Tech'!G$9,IF($F46="SS",'Fleet Tech - Tech'!G$10,IF($F46="BBV",'Fleet Tech - Tech'!G$11,IF($F46="CB",'Fleet Tech - Tech'!G$15,IF($F46="AE",'Fleet Tech - Tech'!G$16,IF($F46="IX",'Fleet Tech - Tech'!G$17,IF($F46="BM",'Fleet Tech - Tech'!G$13,IF($F46="AR",'Fleet Tech - Tech'!G$12,IF($F46="SSV",'Fleet Tech - Tech'!G$14,"nil"))))))))))))))),0)</f>
        <v>0</v>
      </c>
      <c r="BA46" s="12">
        <f>IF($H46=3,IF(OR($F46="DDV",$F46="DDG",$F46="DD"),'Fleet Tech - Tech'!H$3,IF($F46="CL",'Fleet Tech - Tech'!H$4,IF($F46="CA",'Fleet Tech - Tech'!H$5,IF($F46="BC",'Fleet Tech - Tech'!H$6,IF($F46="BB",'Fleet Tech - Tech'!H$7,IF($F46="CVL",'Fleet Tech - Tech'!H$8,IF($F46="CV",'Fleet Tech - Tech'!H$9,IF($F46="SS",'Fleet Tech - Tech'!H$10,IF($F46="BBV",'Fleet Tech - Tech'!H$11,IF($F46="CB",'Fleet Tech - Tech'!H$15,IF($F46="AE",'Fleet Tech - Tech'!H$16,IF($F46="IX",'Fleet Tech - Tech'!H$17,IF($F46="BM",'Fleet Tech - Tech'!H$13,IF($F46="AR",'Fleet Tech - Tech'!H$12,IF($F46="SSV",'Fleet Tech - Tech'!H$14,"nil"))))))))))))))),0)</f>
        <v>12</v>
      </c>
      <c r="BB46" s="12">
        <f>IF($H46=3,IF(OR($F46="DDV",$F46="DDG",$F46="DD"),'Fleet Tech - Tech'!I$3,IF($F46="CL",'Fleet Tech - Tech'!I$4,IF($F46="CA",'Fleet Tech - Tech'!I$5,IF($F46="BC",'Fleet Tech - Tech'!I$6,IF($F46="BB",'Fleet Tech - Tech'!I$7,IF($F46="CVL",'Fleet Tech - Tech'!I$8,IF($F46="CV",'Fleet Tech - Tech'!I$9,IF($F46="SS",'Fleet Tech - Tech'!I$10,IF($F46="BBV",'Fleet Tech - Tech'!I$11,IF($F46="CB",'Fleet Tech - Tech'!I$15,IF($F46="AE",'Fleet Tech - Tech'!I$16,IF($F46="IX",'Fleet Tech - Tech'!I$17,IF($F46="BM",'Fleet Tech - Tech'!I$13,IF($F46="AR",'Fleet Tech - Tech'!I$12,IF($F46="SSV",'Fleet Tech - Tech'!I$14,"nil"))))))))))))))),0)</f>
        <v>0</v>
      </c>
      <c r="BC46" s="12">
        <f>IF($H46=3,IF(OR($F46="DDV",$F46="DDG",$F46="DD"),'Fleet Tech - Tech'!J$3,IF($F46="CL",'Fleet Tech - Tech'!J$4,IF($F46="CA",'Fleet Tech - Tech'!J$5,IF($F46="BC",'Fleet Tech - Tech'!J$6,IF($F46="BB",'Fleet Tech - Tech'!J$7,IF($F46="CVL",'Fleet Tech - Tech'!J$8,IF($F46="CV",'Fleet Tech - Tech'!J$9,IF($F46="SS",'Fleet Tech - Tech'!J$10,IF($F46="BBV",'Fleet Tech - Tech'!J$11,IF($F46="CB",'Fleet Tech - Tech'!J$15,IF($F46="AE",'Fleet Tech - Tech'!J$16,IF($F46="IX",'Fleet Tech - Tech'!J$17,IF($F46="BM",'Fleet Tech - Tech'!J$13,IF($F46="AR",'Fleet Tech - Tech'!J$12,IF($F46="SSV",'Fleet Tech - Tech'!J$14,"nil"))))))))))))))),0)</f>
        <v>0</v>
      </c>
      <c r="BD46" s="12">
        <f>IF($H46=3,IF(OR($F46="DDV",$F46="DDG",$F46="DD"),'Fleet Tech - Tech'!K$3,IF($F46="CL",'Fleet Tech - Tech'!K$4,IF($F46="CA",'Fleet Tech - Tech'!K$5,IF($F46="BC",'Fleet Tech - Tech'!K$6,IF($F46="BB",'Fleet Tech - Tech'!K$7,IF($F46="CVL",'Fleet Tech - Tech'!K$8,IF($F46="CV",'Fleet Tech - Tech'!K$9,IF($F46="SS",'Fleet Tech - Tech'!K$10,IF($F46="BBV",'Fleet Tech - Tech'!K$11,IF($F46="CB",'Fleet Tech - Tech'!K$15,IF($F46="AE",'Fleet Tech - Tech'!K$16,IF($F46="IX",'Fleet Tech - Tech'!K$17,IF($F46="BM",'Fleet Tech - Tech'!K$13,IF($F46="AR",'Fleet Tech - Tech'!K$12,IF($F46="SSV",'Fleet Tech - Tech'!K$14,"nil"))))))))))))))),0)</f>
        <v>0</v>
      </c>
      <c r="BE46" s="12">
        <f>IF($H46=3,IF(OR($F46="DDV",$F46="DDG",$F46="DD"),'Fleet Tech - Tech'!L$3,IF($F46="CL",'Fleet Tech - Tech'!L$4,IF($F46="CA",'Fleet Tech - Tech'!L$5,IF($F46="BC",'Fleet Tech - Tech'!L$6,IF($F46="BB",'Fleet Tech - Tech'!L$7,IF($F46="CVL",'Fleet Tech - Tech'!L$8,IF($F46="CV",'Fleet Tech - Tech'!L$9,IF($F46="SS",'Fleet Tech - Tech'!L$10,IF($F46="BBV",'Fleet Tech - Tech'!L$11,IF($F46="CB",'Fleet Tech - Tech'!L$15,IF($F46="AE",'Fleet Tech - Tech'!L$16,IF($F46="IX",'Fleet Tech - Tech'!L$17,IF($F46="BM",'Fleet Tech - Tech'!L$13,IF($F46="AR",'Fleet Tech - Tech'!L$12,IF($F46="SSV",'Fleet Tech - Tech'!L$14,"nil"))))))))))))))),0)</f>
        <v>4</v>
      </c>
      <c r="BF46" s="12">
        <f>IF($H46=3,IF(OR($F46="DDV",$F46="DDG",$F46="DD"),'Fleet Tech - Tech'!M$3,IF($F46="CL",'Fleet Tech - Tech'!M$4,IF($F46="CA",'Fleet Tech - Tech'!M$5,IF($F46="BC",'Fleet Tech - Tech'!M$6,IF($F46="BB",'Fleet Tech - Tech'!M$7,IF($F46="CVL",'Fleet Tech - Tech'!M$8,IF($F46="CV",'Fleet Tech - Tech'!M$9,IF($F46="SS",'Fleet Tech - Tech'!M$10,IF($F46="BBV",'Fleet Tech - Tech'!M$11,IF($F46="CB",'Fleet Tech - Tech'!M$15,IF($F46="AE",'Fleet Tech - Tech'!M$16,IF($F46="IX",'Fleet Tech - Tech'!M$17,IF($F46="BM",'Fleet Tech - Tech'!M$13,IF($F46="AR",'Fleet Tech - Tech'!M$12,IF($F46="SSV",'Fleet Tech - Tech'!M$14,"nil"))))))))))))))),0)</f>
        <v>0</v>
      </c>
      <c r="BG46" s="12">
        <f>IF($H46=3,IF(OR($F46="DDV",$F46="DDG",$F46="DD"),'Fleet Tech - Tech'!N$3,IF($F46="CL",'Fleet Tech - Tech'!N$4,IF($F46="CA",'Fleet Tech - Tech'!N$5,IF($F46="BC",'Fleet Tech - Tech'!N$6,IF($F46="BB",'Fleet Tech - Tech'!N$7,IF($F46="CVL",'Fleet Tech - Tech'!N$8,IF($F46="CV",'Fleet Tech - Tech'!N$9,IF($F46="SS",'Fleet Tech - Tech'!N$10,IF($F46="BBV",'Fleet Tech - Tech'!N$11,IF($F46="CB",'Fleet Tech - Tech'!N$15,IF($F46="AE",'Fleet Tech - Tech'!N$16,IF($F46="IX",'Fleet Tech - Tech'!N$17,IF($F46="BM",'Fleet Tech - Tech'!N$13,IF($F46="AR",'Fleet Tech - Tech'!N$12,IF($F46="SSV",'Fleet Tech - Tech'!N$14,"nil"))))))))))))))),0)</f>
        <v>2</v>
      </c>
      <c r="BH46" s="28"/>
      <c r="BI46" s="12">
        <v>3978</v>
      </c>
      <c r="BJ46" s="12">
        <v>0</v>
      </c>
      <c r="BK46" s="12">
        <v>212</v>
      </c>
      <c r="BL46" s="12">
        <v>90</v>
      </c>
      <c r="BM46" s="12">
        <v>71</v>
      </c>
      <c r="BN46" s="12">
        <v>0</v>
      </c>
      <c r="BO46" s="12">
        <v>171</v>
      </c>
      <c r="BP46" s="12">
        <v>0</v>
      </c>
      <c r="BQ46" s="12">
        <v>29</v>
      </c>
      <c r="BR46" s="12">
        <v>9</v>
      </c>
      <c r="BS46" s="12">
        <v>80</v>
      </c>
      <c r="BT46" s="12">
        <v>54</v>
      </c>
      <c r="BU46" s="12">
        <v>68</v>
      </c>
      <c r="BV46" s="12">
        <v>175</v>
      </c>
      <c r="BW46" s="28"/>
      <c r="BX46" s="12">
        <v>-1</v>
      </c>
      <c r="BY46" s="12">
        <v>-1</v>
      </c>
      <c r="BZ46" s="12">
        <v>3</v>
      </c>
      <c r="CA46" s="12">
        <v>6</v>
      </c>
      <c r="CB46" s="12">
        <v>3</v>
      </c>
      <c r="CC46" s="12">
        <v>0</v>
      </c>
      <c r="CD46" s="12">
        <v>-1</v>
      </c>
      <c r="CE46" s="12">
        <v>-1</v>
      </c>
      <c r="CF46" s="12">
        <v>-1</v>
      </c>
      <c r="CG46" s="12">
        <v>-1</v>
      </c>
      <c r="CH46" s="12">
        <v>-1</v>
      </c>
      <c r="CI46" s="12">
        <v>-1</v>
      </c>
      <c r="CJ46" s="47"/>
      <c r="CK46" s="48">
        <f>IF(BX46=5,320,IF(BX46=4,195,IF(BX46=3,132,IF(BX46=2,90,IF(BX46=1,58,IF(BX46=-1,0,35))))))</f>
        <v>0</v>
      </c>
      <c r="CL46" s="48">
        <f>IF(BX46=5,20,IF(BX46=4,15,IF(BX46=3,12,IF(BX46=2,10,IF(BX46=1,8,IF(BX46=-1,0,5))))))</f>
        <v>0</v>
      </c>
      <c r="CM46" s="48">
        <f>IF(BZ46=5,320,IF(BZ46=4,195,IF(BZ46=3,132,IF(BZ46=2,90,IF(BZ46=1,58,IF(BZ46=-1,0,35))))))</f>
        <v>132</v>
      </c>
      <c r="CN46" s="48">
        <f>IF(BZ46=5,20,IF(BZ46=4,15,IF(BZ46=3,12,IF(BZ46=2,10,IF(BZ46=1,8,IF(BZ46=-1,0,5))))))</f>
        <v>12</v>
      </c>
      <c r="CO46" s="48">
        <f>IF(CB46=5,320,IF(CB46=4,195,IF(CB46=3,132,IF(CB46=2,90,IF(CB46=1,58,IF(CB46=-1,0,35))))))</f>
        <v>132</v>
      </c>
      <c r="CP46" s="48">
        <f>IF(CB46=5,20,IF(CB46=4,15,IF(CB46=3,12,IF(CB46=2,10,IF(CB46=1,8,IF(CB46=-1,0,5))))))</f>
        <v>12</v>
      </c>
      <c r="CQ46" s="48">
        <f>IF(CD46=5,320,IF(CD46=4,195,IF(CD46=3,132,IF(CD46=2,90,IF(CD46=1,58,IF(CD46=-1,0,35))))))</f>
        <v>0</v>
      </c>
      <c r="CR46" s="48">
        <f>IF(CD46=5,20,IF(CD46=4,15,IF(CD46=3,12,IF(CD46=2,10,IF(CD46=1,8,IF(CD46=-1,0,5))))))</f>
        <v>0</v>
      </c>
      <c r="CS46" s="48">
        <f>IF(CF46=5,320,IF(CF46=4,195,IF(CF46=3,132,IF(CF46=2,90,IF(CF46=1,58,IF(CF46=-1,0,35))))))</f>
        <v>0</v>
      </c>
      <c r="CT46" s="48">
        <f>IF(CF46=5,20,IF(CF46=4,15,IF(CF46=3,12,IF(CF46=2,10,IF(CF46=1,8,IF(CF46=-1,0,5))))))</f>
        <v>0</v>
      </c>
      <c r="CU46" s="48">
        <f>IF(CH46=5,320,IF(CH46=4,195,IF(CH46=3,132,IF(CH46=2,90,IF(CH46=1,58,IF(CH46=-1,0,35))))))</f>
        <v>0</v>
      </c>
      <c r="CV46" s="48">
        <f>IF(CH46=5,20,IF(CH46=4,15,IF(CH46=3,12,IF(CH46=2,10,IF(CH46=1,8,IF(CH46=-1,0,5))))))</f>
        <v>0</v>
      </c>
      <c r="CW46" s="48">
        <f>IF(BY46&gt;10,(BY46/10)-ROUNDDOWN(BY46/10,0),0)+IF(CA46&gt;10,(CA46/10)-ROUNDDOWN(CA46/10,0),0)+IF(CC46&gt;10,(CC46/10)-ROUNDDOWN(CC46/10,0),0)+IF(CE46&gt;10,(CE46/10)-ROUNDDOWN(CE46/10,0),0)+IF(CG46&gt;10,(CG46/10)-ROUNDDOWN(CG46/10,0),0)+IF(CI46&gt;10,(CI46/10)-ROUNDDOWN(CI46/10,0),0)</f>
        <v>0</v>
      </c>
      <c r="CX46" s="48">
        <f>1+(CW46/10)</f>
        <v>1</v>
      </c>
    </row>
    <row r="47" ht="20.05" customHeight="1">
      <c r="A47" t="s" s="43">
        <v>325</v>
      </c>
      <c r="B47" s="49"/>
      <c r="C47" t="s" s="45">
        <v>73</v>
      </c>
      <c r="D47" s="13">
        <v>7</v>
      </c>
      <c r="E47" t="s" s="15">
        <v>232</v>
      </c>
      <c r="F47" t="s" s="15">
        <v>284</v>
      </c>
      <c r="G47" t="s" s="15">
        <v>282</v>
      </c>
      <c r="H47" s="12">
        <v>3</v>
      </c>
      <c r="I47" t="s" s="15">
        <v>277</v>
      </c>
      <c r="J47" s="12">
        <v>84</v>
      </c>
      <c r="K47" t="s" s="14">
        <v>236</v>
      </c>
      <c r="L47" t="s" s="15">
        <v>265</v>
      </c>
      <c r="M47" t="s" s="15">
        <v>22</v>
      </c>
      <c r="N47" s="46">
        <f>ROUND((SUM(AA47,T47:Y47,AC47:AE47,Z47*10)-AB47*15)*(IF(K47="Heavy",0.15,IF(K47="Medium",0,IF(K47="Light",-0.15,10)))+1),0)</f>
        <v>948</v>
      </c>
      <c r="O47" s="46">
        <v>2441</v>
      </c>
      <c r="P47" s="46">
        <f>ROUNDDOWN((BI47+AU47+AG47)/5,0)+(BJ47+AV47+AH47)+(BN47+AZ47+AL47)+(BO47+BA47+AM47)+(BK47+AW47+AI47)+(BS47+BE47+AQ47)+(BL47+AX47+AJ47)+(BQ47+BC47+AO47)+(2*((BT47+BF47+AR47)+(BU47+BG47+AS47)))+(CK47+CM47+CO47+CQ47+CS47+CU47)+(CL47*BY47)+(CN47*CA47)+(CP47+CC47)+(CR47+CE47)+(CT47+CG47)+(CV47+CI47)+BV47</f>
        <v>2801</v>
      </c>
      <c r="Q47" s="46">
        <f>ROUNDDOWN(((S47/5)+T47+X47+Y47+U47+AC47+V47+AA47+(2*(AD47+AE47))+CK47+CM47+CO47+CQ47+CS47+CU47+(CL47*BX47)+(CN47*BZ47)+(CP47*CB47)+(CR47*CD47)+(CT47*CF47)+(CV47*CH47))*CX47,0)</f>
        <v>2537</v>
      </c>
      <c r="R47" s="46">
        <f>ROUNDDOWN(AVERAGE(P47:Q47),0)</f>
        <v>2669</v>
      </c>
      <c r="S47" s="12">
        <f>AG47+AU47+BI47</f>
        <v>1151</v>
      </c>
      <c r="T47" s="12">
        <f>AH47+AV47+BJ47</f>
        <v>70</v>
      </c>
      <c r="U47" s="12">
        <f>AI47+AW47+BK47</f>
        <v>186</v>
      </c>
      <c r="V47" s="12">
        <f>AJ47+AX47+BL47</f>
        <v>177</v>
      </c>
      <c r="W47" s="12">
        <f>AK47+AY47+BM47</f>
        <v>42</v>
      </c>
      <c r="X47" s="12">
        <f>AL47+AZ47+BN47</f>
        <v>278</v>
      </c>
      <c r="Y47" s="12">
        <f>AM47+BA47+BO47</f>
        <v>0</v>
      </c>
      <c r="Z47" s="12">
        <f>AN47+BB47+BP47</f>
        <v>0</v>
      </c>
      <c r="AA47" s="12">
        <f>AO47+BC47+BQ47</f>
        <v>43</v>
      </c>
      <c r="AB47" s="12">
        <f>AP47+BD47+BR47</f>
        <v>9</v>
      </c>
      <c r="AC47" s="12">
        <f>AQ47+BE47+BS47</f>
        <v>114</v>
      </c>
      <c r="AD47" s="12">
        <f>AR47+BF47+BT47</f>
        <v>188</v>
      </c>
      <c r="AE47" s="12">
        <f>AS47+BG47+BU47</f>
        <v>152</v>
      </c>
      <c r="AF47" s="28"/>
      <c r="AG47" s="12">
        <v>0</v>
      </c>
      <c r="AH47" s="12">
        <v>11</v>
      </c>
      <c r="AI47" s="12">
        <v>59</v>
      </c>
      <c r="AJ47" s="12">
        <v>0</v>
      </c>
      <c r="AK47" s="12">
        <v>0</v>
      </c>
      <c r="AL47" s="12">
        <v>25</v>
      </c>
      <c r="AM47" s="12">
        <v>0</v>
      </c>
      <c r="AN47" s="12">
        <v>0</v>
      </c>
      <c r="AO47" s="12">
        <v>3</v>
      </c>
      <c r="AP47" s="12">
        <v>0</v>
      </c>
      <c r="AQ47" s="12">
        <v>0</v>
      </c>
      <c r="AR47" s="12">
        <v>0</v>
      </c>
      <c r="AS47" s="12">
        <v>14</v>
      </c>
      <c r="AT47" s="28"/>
      <c r="AU47" s="12">
        <f>IF($H47=3,IF(OR($F47="DDV",$F47="DDG",$F47="DD"),'Fleet Tech - Tech'!B$3,IF($F47="CL",'Fleet Tech - Tech'!B$4,IF($F47="CA",'Fleet Tech - Tech'!B$5,IF($F47="BC",'Fleet Tech - Tech'!B$6,IF($F47="BB",'Fleet Tech - Tech'!B$7,IF($F47="CVL",'Fleet Tech - Tech'!B$8,IF($F47="CV",'Fleet Tech - Tech'!B$9,IF($F47="SS",'Fleet Tech - Tech'!B$10,IF($F47="BBV",'Fleet Tech - Tech'!B$11,IF($F47="CB",'Fleet Tech - Tech'!B$15,IF($F47="AE",'Fleet Tech - Tech'!B$16,IF($F47="IX",'Fleet Tech - Tech'!B$17,IF($F47="BM",'Fleet Tech - Tech'!B$13,IF($F47="AR",'Fleet Tech - Tech'!B$12,IF($F47="SSV",'Fleet Tech - Tech'!B$14,"nil"))))))))))))))),0)</f>
        <v>128</v>
      </c>
      <c r="AV47" s="12">
        <f>IF($H47=3,IF(OR($F47="DDV",$F47="DDG",$F47="DD"),'Fleet Tech - Tech'!C$3,IF($F47="CL",'Fleet Tech - Tech'!C$4,IF($F47="CA",'Fleet Tech - Tech'!C$5,IF($F47="BC",'Fleet Tech - Tech'!C$6,IF($F47="BB",'Fleet Tech - Tech'!C$7,IF($F47="CVL",'Fleet Tech - Tech'!C$8,IF($F47="CV",'Fleet Tech - Tech'!C$9,IF($F47="SS",'Fleet Tech - Tech'!C$10,IF($F47="BBV",'Fleet Tech - Tech'!C$11,IF($F47="CB",'Fleet Tech - Tech'!C$15,IF($F47="AE",'Fleet Tech - Tech'!C$16,IF($F47="IX",'Fleet Tech - Tech'!C$17,IF($F47="BM",'Fleet Tech - Tech'!C$13,IF($F47="AR",'Fleet Tech - Tech'!C$12,IF($F47="SSV",'Fleet Tech - Tech'!C$14,"nil"))))))))))))))),0)</f>
        <v>11</v>
      </c>
      <c r="AW47" s="12">
        <f>IF($H47=3,IF(OR($F47="DDV",$F47="DDG",$F47="DD"),'Fleet Tech - Tech'!D$3,IF($F47="CL",'Fleet Tech - Tech'!D$4,IF($F47="CA",'Fleet Tech - Tech'!D$5,IF($F47="BC",'Fleet Tech - Tech'!D$6,IF($F47="BB",'Fleet Tech - Tech'!D$7,IF($F47="CVL",'Fleet Tech - Tech'!D$8,IF($F47="CV",'Fleet Tech - Tech'!D$9,IF($F47="SS",'Fleet Tech - Tech'!D$10,IF($F47="BBV",'Fleet Tech - Tech'!D$11,IF($F47="CB",'Fleet Tech - Tech'!D$15,IF($F47="AE",'Fleet Tech - Tech'!D$16,IF($F47="IX",'Fleet Tech - Tech'!D$17,IF($F47="BM",'Fleet Tech - Tech'!D$13,IF($F47="AR",'Fleet Tech - Tech'!D$12,IF($F47="SSV",'Fleet Tech - Tech'!D$14,"nil"))))))))))))))),0)</f>
        <v>3</v>
      </c>
      <c r="AX47" s="12">
        <f>IF($H47=3,IF(OR($F47="DDV",$F47="DDG",$F47="DD"),'Fleet Tech - Tech'!E$3,IF($F47="CL",'Fleet Tech - Tech'!E$4,IF($F47="CA",'Fleet Tech - Tech'!E$5,IF($F47="BC",'Fleet Tech - Tech'!E$6,IF($F47="BB",'Fleet Tech - Tech'!E$7,IF($F47="CVL",'Fleet Tech - Tech'!E$8,IF($F47="CV",'Fleet Tech - Tech'!E$9,IF($F47="SS",'Fleet Tech - Tech'!E$10,IF($F47="BBV",'Fleet Tech - Tech'!E$11,IF($F47="CB",'Fleet Tech - Tech'!E$15,IF($F47="AE",'Fleet Tech - Tech'!E$16,IF($F47="IX",'Fleet Tech - Tech'!E$17,IF($F47="BM",'Fleet Tech - Tech'!E$13,IF($F47="AR",'Fleet Tech - Tech'!E$12,IF($F47="SSV",'Fleet Tech - Tech'!E$14,"nil"))))))))))))))),0)</f>
        <v>2</v>
      </c>
      <c r="AY47" s="12">
        <f>IF($H47=3,IF(OR($F47="DDV",$F47="DDG",$F47="DD"),'Fleet Tech - Tech'!F$3,IF($F47="CL",'Fleet Tech - Tech'!F$4,IF($F47="CA",'Fleet Tech - Tech'!F$5,IF($F47="BC",'Fleet Tech - Tech'!F$6,IF($F47="BB",'Fleet Tech - Tech'!F$7,IF($F47="CVL",'Fleet Tech - Tech'!F$8,IF($F47="CV",'Fleet Tech - Tech'!F$9,IF($F47="SS",'Fleet Tech - Tech'!F$10,IF($F47="BBV",'Fleet Tech - Tech'!F$11,IF($F47="CB",'Fleet Tech - Tech'!F$15,IF($F47="AE",'Fleet Tech - Tech'!F$16,IF($F47="IX",'Fleet Tech - Tech'!F$17,IF($F47="BM",'Fleet Tech - Tech'!F$13,IF($F47="AR",'Fleet Tech - Tech'!F$12,IF($F47="SSV",'Fleet Tech - Tech'!F$14,"nil"))))))))))))))),0)</f>
        <v>0</v>
      </c>
      <c r="AZ47" s="12">
        <f>IF($H47=3,IF(OR($F47="DDV",$F47="DDG",$F47="DD"),'Fleet Tech - Tech'!G$3,IF($F47="CL",'Fleet Tech - Tech'!G$4,IF($F47="CA",'Fleet Tech - Tech'!G$5,IF($F47="BC",'Fleet Tech - Tech'!G$6,IF($F47="BB",'Fleet Tech - Tech'!G$7,IF($F47="CVL",'Fleet Tech - Tech'!G$8,IF($F47="CV",'Fleet Tech - Tech'!G$9,IF($F47="SS",'Fleet Tech - Tech'!G$10,IF($F47="BBV",'Fleet Tech - Tech'!G$11,IF($F47="CB",'Fleet Tech - Tech'!G$15,IF($F47="AE",'Fleet Tech - Tech'!G$16,IF($F47="IX",'Fleet Tech - Tech'!G$17,IF($F47="BM",'Fleet Tech - Tech'!G$13,IF($F47="AR",'Fleet Tech - Tech'!G$12,IF($F47="SSV",'Fleet Tech - Tech'!G$14,"nil"))))))))))))))),0)</f>
        <v>1</v>
      </c>
      <c r="BA47" s="12">
        <f>IF($H47=3,IF(OR($F47="DDV",$F47="DDG",$F47="DD"),'Fleet Tech - Tech'!H$3,IF($F47="CL",'Fleet Tech - Tech'!H$4,IF($F47="CA",'Fleet Tech - Tech'!H$5,IF($F47="BC",'Fleet Tech - Tech'!H$6,IF($F47="BB",'Fleet Tech - Tech'!H$7,IF($F47="CVL",'Fleet Tech - Tech'!H$8,IF($F47="CV",'Fleet Tech - Tech'!H$9,IF($F47="SS",'Fleet Tech - Tech'!H$10,IF($F47="BBV",'Fleet Tech - Tech'!H$11,IF($F47="CB",'Fleet Tech - Tech'!H$15,IF($F47="AE",'Fleet Tech - Tech'!H$16,IF($F47="IX",'Fleet Tech - Tech'!H$17,IF($F47="BM",'Fleet Tech - Tech'!H$13,IF($F47="AR",'Fleet Tech - Tech'!H$12,IF($F47="SSV",'Fleet Tech - Tech'!H$14,"nil"))))))))))))))),0)</f>
        <v>0</v>
      </c>
      <c r="BB47" s="12">
        <f>IF($H47=3,IF(OR($F47="DDV",$F47="DDG",$F47="DD"),'Fleet Tech - Tech'!I$3,IF($F47="CL",'Fleet Tech - Tech'!I$4,IF($F47="CA",'Fleet Tech - Tech'!I$5,IF($F47="BC",'Fleet Tech - Tech'!I$6,IF($F47="BB",'Fleet Tech - Tech'!I$7,IF($F47="CVL",'Fleet Tech - Tech'!I$8,IF($F47="CV",'Fleet Tech - Tech'!I$9,IF($F47="SS",'Fleet Tech - Tech'!I$10,IF($F47="BBV",'Fleet Tech - Tech'!I$11,IF($F47="CB",'Fleet Tech - Tech'!I$15,IF($F47="AE",'Fleet Tech - Tech'!I$16,IF($F47="IX",'Fleet Tech - Tech'!I$17,IF($F47="BM",'Fleet Tech - Tech'!I$13,IF($F47="AR",'Fleet Tech - Tech'!I$12,IF($F47="SSV",'Fleet Tech - Tech'!I$14,"nil"))))))))))))))),0)</f>
        <v>0</v>
      </c>
      <c r="BC47" s="12">
        <f>IF($H47=3,IF(OR($F47="DDV",$F47="DDG",$F47="DD"),'Fleet Tech - Tech'!J$3,IF($F47="CL",'Fleet Tech - Tech'!J$4,IF($F47="CA",'Fleet Tech - Tech'!J$5,IF($F47="BC",'Fleet Tech - Tech'!J$6,IF($F47="BB",'Fleet Tech - Tech'!J$7,IF($F47="CVL",'Fleet Tech - Tech'!J$8,IF($F47="CV",'Fleet Tech - Tech'!J$9,IF($F47="SS",'Fleet Tech - Tech'!J$10,IF($F47="BBV",'Fleet Tech - Tech'!J$11,IF($F47="CB",'Fleet Tech - Tech'!J$15,IF($F47="AE",'Fleet Tech - Tech'!J$16,IF($F47="IX",'Fleet Tech - Tech'!J$17,IF($F47="BM",'Fleet Tech - Tech'!J$13,IF($F47="AR",'Fleet Tech - Tech'!J$12,IF($F47="SSV",'Fleet Tech - Tech'!J$14,"nil"))))))))))))))),0)</f>
        <v>0</v>
      </c>
      <c r="BD47" s="12">
        <f>IF($H47=3,IF(OR($F47="DDV",$F47="DDG",$F47="DD"),'Fleet Tech - Tech'!K$3,IF($F47="CL",'Fleet Tech - Tech'!K$4,IF($F47="CA",'Fleet Tech - Tech'!K$5,IF($F47="BC",'Fleet Tech - Tech'!K$6,IF($F47="BB",'Fleet Tech - Tech'!K$7,IF($F47="CVL",'Fleet Tech - Tech'!K$8,IF($F47="CV",'Fleet Tech - Tech'!K$9,IF($F47="SS",'Fleet Tech - Tech'!K$10,IF($F47="BBV",'Fleet Tech - Tech'!K$11,IF($F47="CB",'Fleet Tech - Tech'!K$15,IF($F47="AE",'Fleet Tech - Tech'!K$16,IF($F47="IX",'Fleet Tech - Tech'!K$17,IF($F47="BM",'Fleet Tech - Tech'!K$13,IF($F47="AR",'Fleet Tech - Tech'!K$12,IF($F47="SSV",'Fleet Tech - Tech'!K$14,"nil"))))))))))))))),0)</f>
        <v>0</v>
      </c>
      <c r="BE47" s="12">
        <f>IF($H47=3,IF(OR($F47="DDV",$F47="DDG",$F47="DD"),'Fleet Tech - Tech'!L$3,IF($F47="CL",'Fleet Tech - Tech'!L$4,IF($F47="CA",'Fleet Tech - Tech'!L$5,IF($F47="BC",'Fleet Tech - Tech'!L$6,IF($F47="BB",'Fleet Tech - Tech'!L$7,IF($F47="CVL",'Fleet Tech - Tech'!L$8,IF($F47="CV",'Fleet Tech - Tech'!L$9,IF($F47="SS",'Fleet Tech - Tech'!L$10,IF($F47="BBV",'Fleet Tech - Tech'!L$11,IF($F47="CB",'Fleet Tech - Tech'!L$15,IF($F47="AE",'Fleet Tech - Tech'!L$16,IF($F47="IX",'Fleet Tech - Tech'!L$17,IF($F47="BM",'Fleet Tech - Tech'!L$13,IF($F47="AR",'Fleet Tech - Tech'!L$12,IF($F47="SSV",'Fleet Tech - Tech'!L$14,"nil"))))))))))))))),0)</f>
        <v>1</v>
      </c>
      <c r="BF47" s="12">
        <f>IF($H47=3,IF(OR($F47="DDV",$F47="DDG",$F47="DD"),'Fleet Tech - Tech'!M$3,IF($F47="CL",'Fleet Tech - Tech'!M$4,IF($F47="CA",'Fleet Tech - Tech'!M$5,IF($F47="BC",'Fleet Tech - Tech'!M$6,IF($F47="BB",'Fleet Tech - Tech'!M$7,IF($F47="CVL",'Fleet Tech - Tech'!M$8,IF($F47="CV",'Fleet Tech - Tech'!M$9,IF($F47="SS",'Fleet Tech - Tech'!M$10,IF($F47="BBV",'Fleet Tech - Tech'!M$11,IF($F47="CB",'Fleet Tech - Tech'!M$15,IF($F47="AE",'Fleet Tech - Tech'!M$16,IF($F47="IX",'Fleet Tech - Tech'!M$17,IF($F47="BM",'Fleet Tech - Tech'!M$13,IF($F47="AR",'Fleet Tech - Tech'!M$12,IF($F47="SSV",'Fleet Tech - Tech'!M$14,"nil"))))))))))))))),0)</f>
        <v>5</v>
      </c>
      <c r="BG47" s="12">
        <f>IF($H47=3,IF(OR($F47="DDV",$F47="DDG",$F47="DD"),'Fleet Tech - Tech'!N$3,IF($F47="CL",'Fleet Tech - Tech'!N$4,IF($F47="CA",'Fleet Tech - Tech'!N$5,IF($F47="BC",'Fleet Tech - Tech'!N$6,IF($F47="BB",'Fleet Tech - Tech'!N$7,IF($F47="CVL",'Fleet Tech - Tech'!N$8,IF($F47="CV",'Fleet Tech - Tech'!N$9,IF($F47="SS",'Fleet Tech - Tech'!N$10,IF($F47="BBV",'Fleet Tech - Tech'!N$11,IF($F47="CB",'Fleet Tech - Tech'!N$15,IF($F47="AE",'Fleet Tech - Tech'!N$16,IF($F47="IX",'Fleet Tech - Tech'!N$17,IF($F47="BM",'Fleet Tech - Tech'!N$13,IF($F47="AR",'Fleet Tech - Tech'!N$12,IF($F47="SSV",'Fleet Tech - Tech'!N$14,"nil"))))))))))))))),0)</f>
        <v>0</v>
      </c>
      <c r="BH47" s="28"/>
      <c r="BI47" s="12">
        <v>1023</v>
      </c>
      <c r="BJ47" s="12">
        <v>48</v>
      </c>
      <c r="BK47" s="12">
        <v>124</v>
      </c>
      <c r="BL47" s="12">
        <v>175</v>
      </c>
      <c r="BM47" s="12">
        <v>42</v>
      </c>
      <c r="BN47" s="12">
        <v>252</v>
      </c>
      <c r="BO47" s="12">
        <v>0</v>
      </c>
      <c r="BP47" s="12">
        <v>0</v>
      </c>
      <c r="BQ47" s="12">
        <v>40</v>
      </c>
      <c r="BR47" s="12">
        <v>9</v>
      </c>
      <c r="BS47" s="12">
        <v>113</v>
      </c>
      <c r="BT47" s="12">
        <v>183</v>
      </c>
      <c r="BU47" s="12">
        <v>138</v>
      </c>
      <c r="BV47" s="12">
        <v>335</v>
      </c>
      <c r="BW47" s="28"/>
      <c r="BX47" s="12">
        <v>3</v>
      </c>
      <c r="BY47" s="12">
        <v>0</v>
      </c>
      <c r="BZ47" s="12">
        <v>3</v>
      </c>
      <c r="CA47" s="12">
        <v>6</v>
      </c>
      <c r="CB47" s="12">
        <v>4</v>
      </c>
      <c r="CC47" s="12">
        <v>0</v>
      </c>
      <c r="CD47" s="12">
        <v>-1</v>
      </c>
      <c r="CE47" s="12">
        <v>-1</v>
      </c>
      <c r="CF47" s="12">
        <v>3</v>
      </c>
      <c r="CG47" s="12">
        <v>0</v>
      </c>
      <c r="CH47" s="12">
        <v>-1</v>
      </c>
      <c r="CI47" s="12">
        <v>-1</v>
      </c>
      <c r="CJ47" s="47"/>
      <c r="CK47" s="48">
        <f>IF(BX47=5,320,IF(BX47=4,195,IF(BX47=3,132,IF(BX47=2,90,IF(BX47=1,58,IF(BX47=-1,0,35))))))</f>
        <v>132</v>
      </c>
      <c r="CL47" s="48">
        <f>IF(BX47=5,20,IF(BX47=4,15,IF(BX47=3,12,IF(BX47=2,10,IF(BX47=1,8,IF(BX47=-1,0,5))))))</f>
        <v>12</v>
      </c>
      <c r="CM47" s="48">
        <f>IF(BZ47=5,320,IF(BZ47=4,195,IF(BZ47=3,132,IF(BZ47=2,90,IF(BZ47=1,58,IF(BZ47=-1,0,35))))))</f>
        <v>132</v>
      </c>
      <c r="CN47" s="48">
        <f>IF(BZ47=5,20,IF(BZ47=4,15,IF(BZ47=3,12,IF(BZ47=2,10,IF(BZ47=1,8,IF(BZ47=-1,0,5))))))</f>
        <v>12</v>
      </c>
      <c r="CO47" s="48">
        <f>IF(CB47=5,320,IF(CB47=4,195,IF(CB47=3,132,IF(CB47=2,90,IF(CB47=1,58,IF(CB47=-1,0,35))))))</f>
        <v>195</v>
      </c>
      <c r="CP47" s="48">
        <f>IF(CB47=5,20,IF(CB47=4,15,IF(CB47=3,12,IF(CB47=2,10,IF(CB47=1,8,IF(CB47=-1,0,5))))))</f>
        <v>15</v>
      </c>
      <c r="CQ47" s="48">
        <f>IF(CD47=5,320,IF(CD47=4,195,IF(CD47=3,132,IF(CD47=2,90,IF(CD47=1,58,IF(CD47=-1,0,35))))))</f>
        <v>0</v>
      </c>
      <c r="CR47" s="48">
        <f>IF(CD47=5,20,IF(CD47=4,15,IF(CD47=3,12,IF(CD47=2,10,IF(CD47=1,8,IF(CD47=-1,0,5))))))</f>
        <v>0</v>
      </c>
      <c r="CS47" s="48">
        <f>IF(CF47=5,320,IF(CF47=4,195,IF(CF47=3,132,IF(CF47=2,90,IF(CF47=1,58,IF(CF47=-1,0,35))))))</f>
        <v>132</v>
      </c>
      <c r="CT47" s="48">
        <f>IF(CF47=5,20,IF(CF47=4,15,IF(CF47=3,12,IF(CF47=2,10,IF(CF47=1,8,IF(CF47=-1,0,5))))))</f>
        <v>12</v>
      </c>
      <c r="CU47" s="48">
        <f>IF(CH47=5,320,IF(CH47=4,195,IF(CH47=3,132,IF(CH47=2,90,IF(CH47=1,58,IF(CH47=-1,0,35))))))</f>
        <v>0</v>
      </c>
      <c r="CV47" s="48">
        <f>IF(CH47=5,20,IF(CH47=4,15,IF(CH47=3,12,IF(CH47=2,10,IF(CH47=1,8,IF(CH47=-1,0,5))))))</f>
        <v>0</v>
      </c>
      <c r="CW47" s="48">
        <f>IF(BY47&gt;10,(BY47/10)-ROUNDDOWN(BY47/10,0),0)+IF(CA47&gt;10,(CA47/10)-ROUNDDOWN(CA47/10,0),0)+IF(CC47&gt;10,(CC47/10)-ROUNDDOWN(CC47/10,0),0)+IF(CE47&gt;10,(CE47/10)-ROUNDDOWN(CE47/10,0),0)+IF(CG47&gt;10,(CG47/10)-ROUNDDOWN(CG47/10,0),0)+IF(CI47&gt;10,(CI47/10)-ROUNDDOWN(CI47/10,0),0)</f>
        <v>0</v>
      </c>
      <c r="CX47" s="48">
        <f>1+(CW47/10)</f>
        <v>1</v>
      </c>
    </row>
    <row r="48" ht="20.05" customHeight="1">
      <c r="A48" t="s" s="43">
        <v>326</v>
      </c>
      <c r="B48" s="49"/>
      <c r="C48" t="s" s="45">
        <v>73</v>
      </c>
      <c r="D48" s="13">
        <v>7</v>
      </c>
      <c r="E48" t="s" s="15">
        <v>240</v>
      </c>
      <c r="F48" t="s" s="15">
        <v>241</v>
      </c>
      <c r="G48" t="s" s="15">
        <v>282</v>
      </c>
      <c r="H48" s="12">
        <v>2</v>
      </c>
      <c r="I48" t="s" s="15">
        <v>235</v>
      </c>
      <c r="J48" s="12">
        <v>83</v>
      </c>
      <c r="K48" t="s" s="14">
        <v>242</v>
      </c>
      <c r="L48" t="s" s="15">
        <v>237</v>
      </c>
      <c r="M48" t="s" s="15">
        <v>66</v>
      </c>
      <c r="N48" s="46">
        <f>ROUND((SUM(AA48,T48:Y48,AC48:AE48,Z48*10)-AB48*15)*(IF(K48="Heavy",0.15,IF(K48="Medium",0,IF(K48="Light",-0.15,10)))+1),0)</f>
        <v>519</v>
      </c>
      <c r="O48" s="46">
        <v>1675</v>
      </c>
      <c r="P48" s="46">
        <f>ROUNDDOWN((BI48+AU48+AG48)/5,0)+(BJ48+AV48+AH48)+(BN48+AZ48+AL48)+(BO48+BA48+AM48)+(BK48+AW48+AI48)+(BS48+BE48+AQ48)+(BL48+AX48+AJ48)+(BQ48+BC48+AO48)+(2*((BT48+BF48+AR48)+(BU48+BG48+AS48)))+(CK48+CM48+CO48+CQ48+CS48+CU48)+(CL48*BY48)+(CN48*CA48)+(CP48+CC48)+(CR48+CE48)+(CT48+CG48)+(CV48+CI48)+BV48</f>
        <v>2006</v>
      </c>
      <c r="Q48" s="46">
        <f>ROUNDDOWN(((S48/5)+T48+X48+Y48+U48+AC48+V48+AA48+(2*(AD48+AE48))+CK48+CM48+CO48+CQ48+CS48+CU48+(CL48*BX48)+(CN48*BZ48)+(CP48*CB48)+(CR48*CD48)+(CT48*CF48)+(CV48*CH48))*CX48,0)</f>
        <v>1675</v>
      </c>
      <c r="R48" s="46">
        <f>ROUNDDOWN(AVERAGE(P48:Q48),0)</f>
        <v>1840</v>
      </c>
      <c r="S48" s="12">
        <f>AG48+AU48+BI48</f>
        <v>4609</v>
      </c>
      <c r="T48" s="12">
        <f>AH48+AV48+BJ48</f>
        <v>0</v>
      </c>
      <c r="U48" s="12">
        <f>AI48+AW48+BK48</f>
        <v>217</v>
      </c>
      <c r="V48" s="12">
        <f>AJ48+AX48+BL48</f>
        <v>0</v>
      </c>
      <c r="W48" s="12">
        <f>AK48+AY48+BM48</f>
        <v>32</v>
      </c>
      <c r="X48" s="12">
        <f>AL48+AZ48+BN48</f>
        <v>0</v>
      </c>
      <c r="Y48" s="12">
        <f>AM48+BA48+BO48</f>
        <v>230</v>
      </c>
      <c r="Z48" s="12">
        <f>AN48+BB48+BP48</f>
        <v>0</v>
      </c>
      <c r="AA48" s="12">
        <f>AO48+BC48+BQ48</f>
        <v>30</v>
      </c>
      <c r="AB48" s="12">
        <f>AP48+BD48+BR48</f>
        <v>11</v>
      </c>
      <c r="AC48" s="12">
        <f>AQ48+BE48+BS48</f>
        <v>73</v>
      </c>
      <c r="AD48" s="12">
        <f>AR48+BF48+BT48</f>
        <v>33</v>
      </c>
      <c r="AE48" s="12">
        <f>AS48+BG48+BU48</f>
        <v>69</v>
      </c>
      <c r="AF48" s="28"/>
      <c r="AG48" s="12">
        <v>0</v>
      </c>
      <c r="AH48" s="12">
        <v>0</v>
      </c>
      <c r="AI48" s="12">
        <v>0</v>
      </c>
      <c r="AJ48" s="12">
        <v>0</v>
      </c>
      <c r="AK48" s="12">
        <v>0</v>
      </c>
      <c r="AL48" s="12">
        <v>0</v>
      </c>
      <c r="AM48" s="12">
        <v>0</v>
      </c>
      <c r="AN48" s="12">
        <v>0</v>
      </c>
      <c r="AO48" s="12">
        <v>0</v>
      </c>
      <c r="AP48" s="12">
        <v>0</v>
      </c>
      <c r="AQ48" s="12">
        <v>0</v>
      </c>
      <c r="AR48" s="12">
        <v>0</v>
      </c>
      <c r="AS48" s="12">
        <v>0</v>
      </c>
      <c r="AT48" s="28"/>
      <c r="AU48" s="12">
        <f>IF($H48=3,IF(OR($F48="DDV",$F48="DDG",$F48="DD"),'Fleet Tech - Tech'!B$3,IF($F48="CL",'Fleet Tech - Tech'!B$4,IF($F48="CA",'Fleet Tech - Tech'!B$5,IF($F48="BC",'Fleet Tech - Tech'!B$6,IF($F48="BB",'Fleet Tech - Tech'!B$7,IF($F48="CVL",'Fleet Tech - Tech'!B$8,IF($F48="CV",'Fleet Tech - Tech'!B$9,IF($F48="SS",'Fleet Tech - Tech'!B$10,IF($F48="BBV",'Fleet Tech - Tech'!B$11,IF($F48="CB",'Fleet Tech - Tech'!B$15,IF($F48="AE",'Fleet Tech - Tech'!B$16,IF($F48="IX",'Fleet Tech - Tech'!B$17,IF($F48="BM",'Fleet Tech - Tech'!B$13,IF($F48="AR",'Fleet Tech - Tech'!B$12,IF($F48="SSV",'Fleet Tech - Tech'!B$14,"nil"))))))))))))))),0)</f>
        <v>0</v>
      </c>
      <c r="AV48" s="12">
        <f>IF($H48=3,IF(OR($F48="DDV",$F48="DDG",$F48="DD"),'Fleet Tech - Tech'!C$3,IF($F48="CL",'Fleet Tech - Tech'!C$4,IF($F48="CA",'Fleet Tech - Tech'!C$5,IF($F48="BC",'Fleet Tech - Tech'!C$6,IF($F48="BB",'Fleet Tech - Tech'!C$7,IF($F48="CVL",'Fleet Tech - Tech'!C$8,IF($F48="CV",'Fleet Tech - Tech'!C$9,IF($F48="SS",'Fleet Tech - Tech'!C$10,IF($F48="BBV",'Fleet Tech - Tech'!C$11,IF($F48="CB",'Fleet Tech - Tech'!C$15,IF($F48="AE",'Fleet Tech - Tech'!C$16,IF($F48="IX",'Fleet Tech - Tech'!C$17,IF($F48="BM",'Fleet Tech - Tech'!C$13,IF($F48="AR",'Fleet Tech - Tech'!C$12,IF($F48="SSV",'Fleet Tech - Tech'!C$14,"nil"))))))))))))))),0)</f>
        <v>0</v>
      </c>
      <c r="AW48" s="12">
        <f>IF($H48=3,IF(OR($F48="DDV",$F48="DDG",$F48="DD"),'Fleet Tech - Tech'!D$3,IF($F48="CL",'Fleet Tech - Tech'!D$4,IF($F48="CA",'Fleet Tech - Tech'!D$5,IF($F48="BC",'Fleet Tech - Tech'!D$6,IF($F48="BB",'Fleet Tech - Tech'!D$7,IF($F48="CVL",'Fleet Tech - Tech'!D$8,IF($F48="CV",'Fleet Tech - Tech'!D$9,IF($F48="SS",'Fleet Tech - Tech'!D$10,IF($F48="BBV",'Fleet Tech - Tech'!D$11,IF($F48="CB",'Fleet Tech - Tech'!D$15,IF($F48="AE",'Fleet Tech - Tech'!D$16,IF($F48="IX",'Fleet Tech - Tech'!D$17,IF($F48="BM",'Fleet Tech - Tech'!D$13,IF($F48="AR",'Fleet Tech - Tech'!D$12,IF($F48="SSV",'Fleet Tech - Tech'!D$14,"nil"))))))))))))))),0)</f>
        <v>0</v>
      </c>
      <c r="AX48" s="12">
        <f>IF($H48=3,IF(OR($F48="DDV",$F48="DDG",$F48="DD"),'Fleet Tech - Tech'!E$3,IF($F48="CL",'Fleet Tech - Tech'!E$4,IF($F48="CA",'Fleet Tech - Tech'!E$5,IF($F48="BC",'Fleet Tech - Tech'!E$6,IF($F48="BB",'Fleet Tech - Tech'!E$7,IF($F48="CVL",'Fleet Tech - Tech'!E$8,IF($F48="CV",'Fleet Tech - Tech'!E$9,IF($F48="SS",'Fleet Tech - Tech'!E$10,IF($F48="BBV",'Fleet Tech - Tech'!E$11,IF($F48="CB",'Fleet Tech - Tech'!E$15,IF($F48="AE",'Fleet Tech - Tech'!E$16,IF($F48="IX",'Fleet Tech - Tech'!E$17,IF($F48="BM",'Fleet Tech - Tech'!E$13,IF($F48="AR",'Fleet Tech - Tech'!E$12,IF($F48="SSV",'Fleet Tech - Tech'!E$14,"nil"))))))))))))))),0)</f>
        <v>0</v>
      </c>
      <c r="AY48" s="12">
        <f>IF($H48=3,IF(OR($F48="DDV",$F48="DDG",$F48="DD"),'Fleet Tech - Tech'!F$3,IF($F48="CL",'Fleet Tech - Tech'!F$4,IF($F48="CA",'Fleet Tech - Tech'!F$5,IF($F48="BC",'Fleet Tech - Tech'!F$6,IF($F48="BB",'Fleet Tech - Tech'!F$7,IF($F48="CVL",'Fleet Tech - Tech'!F$8,IF($F48="CV",'Fleet Tech - Tech'!F$9,IF($F48="SS",'Fleet Tech - Tech'!F$10,IF($F48="BBV",'Fleet Tech - Tech'!F$11,IF($F48="CB",'Fleet Tech - Tech'!F$15,IF($F48="AE",'Fleet Tech - Tech'!F$16,IF($F48="IX",'Fleet Tech - Tech'!F$17,IF($F48="BM",'Fleet Tech - Tech'!F$13,IF($F48="AR",'Fleet Tech - Tech'!F$12,IF($F48="SSV",'Fleet Tech - Tech'!F$14,"nil"))))))))))))))),0)</f>
        <v>0</v>
      </c>
      <c r="AZ48" s="12">
        <f>IF($H48=3,IF(OR($F48="DDV",$F48="DDG",$F48="DD"),'Fleet Tech - Tech'!G$3,IF($F48="CL",'Fleet Tech - Tech'!G$4,IF($F48="CA",'Fleet Tech - Tech'!G$5,IF($F48="BC",'Fleet Tech - Tech'!G$6,IF($F48="BB",'Fleet Tech - Tech'!G$7,IF($F48="CVL",'Fleet Tech - Tech'!G$8,IF($F48="CV",'Fleet Tech - Tech'!G$9,IF($F48="SS",'Fleet Tech - Tech'!G$10,IF($F48="BBV",'Fleet Tech - Tech'!G$11,IF($F48="CB",'Fleet Tech - Tech'!G$15,IF($F48="AE",'Fleet Tech - Tech'!G$16,IF($F48="IX",'Fleet Tech - Tech'!G$17,IF($F48="BM",'Fleet Tech - Tech'!G$13,IF($F48="AR",'Fleet Tech - Tech'!G$12,IF($F48="SSV",'Fleet Tech - Tech'!G$14,"nil"))))))))))))))),0)</f>
        <v>0</v>
      </c>
      <c r="BA48" s="12">
        <f>IF($H48=3,IF(OR($F48="DDV",$F48="DDG",$F48="DD"),'Fleet Tech - Tech'!H$3,IF($F48="CL",'Fleet Tech - Tech'!H$4,IF($F48="CA",'Fleet Tech - Tech'!H$5,IF($F48="BC",'Fleet Tech - Tech'!H$6,IF($F48="BB",'Fleet Tech - Tech'!H$7,IF($F48="CVL",'Fleet Tech - Tech'!H$8,IF($F48="CV",'Fleet Tech - Tech'!H$9,IF($F48="SS",'Fleet Tech - Tech'!H$10,IF($F48="BBV",'Fleet Tech - Tech'!H$11,IF($F48="CB",'Fleet Tech - Tech'!H$15,IF($F48="AE",'Fleet Tech - Tech'!H$16,IF($F48="IX",'Fleet Tech - Tech'!H$17,IF($F48="BM",'Fleet Tech - Tech'!H$13,IF($F48="AR",'Fleet Tech - Tech'!H$12,IF($F48="SSV",'Fleet Tech - Tech'!H$14,"nil"))))))))))))))),0)</f>
        <v>0</v>
      </c>
      <c r="BB48" s="12">
        <f>IF($H48=3,IF(OR($F48="DDV",$F48="DDG",$F48="DD"),'Fleet Tech - Tech'!I$3,IF($F48="CL",'Fleet Tech - Tech'!I$4,IF($F48="CA",'Fleet Tech - Tech'!I$5,IF($F48="BC",'Fleet Tech - Tech'!I$6,IF($F48="BB",'Fleet Tech - Tech'!I$7,IF($F48="CVL",'Fleet Tech - Tech'!I$8,IF($F48="CV",'Fleet Tech - Tech'!I$9,IF($F48="SS",'Fleet Tech - Tech'!I$10,IF($F48="BBV",'Fleet Tech - Tech'!I$11,IF($F48="CB",'Fleet Tech - Tech'!I$15,IF($F48="AE",'Fleet Tech - Tech'!I$16,IF($F48="IX",'Fleet Tech - Tech'!I$17,IF($F48="BM",'Fleet Tech - Tech'!I$13,IF($F48="AR",'Fleet Tech - Tech'!I$12,IF($F48="SSV",'Fleet Tech - Tech'!I$14,"nil"))))))))))))))),0)</f>
        <v>0</v>
      </c>
      <c r="BC48" s="12">
        <f>IF($H48=3,IF(OR($F48="DDV",$F48="DDG",$F48="DD"),'Fleet Tech - Tech'!J$3,IF($F48="CL",'Fleet Tech - Tech'!J$4,IF($F48="CA",'Fleet Tech - Tech'!J$5,IF($F48="BC",'Fleet Tech - Tech'!J$6,IF($F48="BB",'Fleet Tech - Tech'!J$7,IF($F48="CVL",'Fleet Tech - Tech'!J$8,IF($F48="CV",'Fleet Tech - Tech'!J$9,IF($F48="SS",'Fleet Tech - Tech'!J$10,IF($F48="BBV",'Fleet Tech - Tech'!J$11,IF($F48="CB",'Fleet Tech - Tech'!J$15,IF($F48="AE",'Fleet Tech - Tech'!J$16,IF($F48="IX",'Fleet Tech - Tech'!J$17,IF($F48="BM",'Fleet Tech - Tech'!J$13,IF($F48="AR",'Fleet Tech - Tech'!J$12,IF($F48="SSV",'Fleet Tech - Tech'!J$14,"nil"))))))))))))))),0)</f>
        <v>0</v>
      </c>
      <c r="BD48" s="12">
        <f>IF($H48=3,IF(OR($F48="DDV",$F48="DDG",$F48="DD"),'Fleet Tech - Tech'!K$3,IF($F48="CL",'Fleet Tech - Tech'!K$4,IF($F48="CA",'Fleet Tech - Tech'!K$5,IF($F48="BC",'Fleet Tech - Tech'!K$6,IF($F48="BB",'Fleet Tech - Tech'!K$7,IF($F48="CVL",'Fleet Tech - Tech'!K$8,IF($F48="CV",'Fleet Tech - Tech'!K$9,IF($F48="SS",'Fleet Tech - Tech'!K$10,IF($F48="BBV",'Fleet Tech - Tech'!K$11,IF($F48="CB",'Fleet Tech - Tech'!K$15,IF($F48="AE",'Fleet Tech - Tech'!K$16,IF($F48="IX",'Fleet Tech - Tech'!K$17,IF($F48="BM",'Fleet Tech - Tech'!K$13,IF($F48="AR",'Fleet Tech - Tech'!K$12,IF($F48="SSV",'Fleet Tech - Tech'!K$14,"nil"))))))))))))))),0)</f>
        <v>0</v>
      </c>
      <c r="BE48" s="12">
        <f>IF($H48=3,IF(OR($F48="DDV",$F48="DDG",$F48="DD"),'Fleet Tech - Tech'!L$3,IF($F48="CL",'Fleet Tech - Tech'!L$4,IF($F48="CA",'Fleet Tech - Tech'!L$5,IF($F48="BC",'Fleet Tech - Tech'!L$6,IF($F48="BB",'Fleet Tech - Tech'!L$7,IF($F48="CVL",'Fleet Tech - Tech'!L$8,IF($F48="CV",'Fleet Tech - Tech'!L$9,IF($F48="SS",'Fleet Tech - Tech'!L$10,IF($F48="BBV",'Fleet Tech - Tech'!L$11,IF($F48="CB",'Fleet Tech - Tech'!L$15,IF($F48="AE",'Fleet Tech - Tech'!L$16,IF($F48="IX",'Fleet Tech - Tech'!L$17,IF($F48="BM",'Fleet Tech - Tech'!L$13,IF($F48="AR",'Fleet Tech - Tech'!L$12,IF($F48="SSV",'Fleet Tech - Tech'!L$14,"nil"))))))))))))))),0)</f>
        <v>0</v>
      </c>
      <c r="BF48" s="12">
        <f>IF($H48=3,IF(OR($F48="DDV",$F48="DDG",$F48="DD"),'Fleet Tech - Tech'!M$3,IF($F48="CL",'Fleet Tech - Tech'!M$4,IF($F48="CA",'Fleet Tech - Tech'!M$5,IF($F48="BC",'Fleet Tech - Tech'!M$6,IF($F48="BB",'Fleet Tech - Tech'!M$7,IF($F48="CVL",'Fleet Tech - Tech'!M$8,IF($F48="CV",'Fleet Tech - Tech'!M$9,IF($F48="SS",'Fleet Tech - Tech'!M$10,IF($F48="BBV",'Fleet Tech - Tech'!M$11,IF($F48="CB",'Fleet Tech - Tech'!M$15,IF($F48="AE",'Fleet Tech - Tech'!M$16,IF($F48="IX",'Fleet Tech - Tech'!M$17,IF($F48="BM",'Fleet Tech - Tech'!M$13,IF($F48="AR",'Fleet Tech - Tech'!M$12,IF($F48="SSV",'Fleet Tech - Tech'!M$14,"nil"))))))))))))))),0)</f>
        <v>0</v>
      </c>
      <c r="BG48" s="12">
        <f>IF($H48=3,IF(OR($F48="DDV",$F48="DDG",$F48="DD"),'Fleet Tech - Tech'!N$3,IF($F48="CL",'Fleet Tech - Tech'!N$4,IF($F48="CA",'Fleet Tech - Tech'!N$5,IF($F48="BC",'Fleet Tech - Tech'!N$6,IF($F48="BB",'Fleet Tech - Tech'!N$7,IF($F48="CVL",'Fleet Tech - Tech'!N$8,IF($F48="CV",'Fleet Tech - Tech'!N$9,IF($F48="SS",'Fleet Tech - Tech'!N$10,IF($F48="BBV",'Fleet Tech - Tech'!N$11,IF($F48="CB",'Fleet Tech - Tech'!N$15,IF($F48="AE",'Fleet Tech - Tech'!N$16,IF($F48="IX",'Fleet Tech - Tech'!N$17,IF($F48="BM",'Fleet Tech - Tech'!N$13,IF($F48="AR",'Fleet Tech - Tech'!N$12,IF($F48="SSV",'Fleet Tech - Tech'!N$14,"nil"))))))))))))))),0)</f>
        <v>0</v>
      </c>
      <c r="BH48" s="28"/>
      <c r="BI48" s="12">
        <v>4609</v>
      </c>
      <c r="BJ48" s="12">
        <v>0</v>
      </c>
      <c r="BK48" s="12">
        <v>217</v>
      </c>
      <c r="BL48" s="12">
        <v>0</v>
      </c>
      <c r="BM48" s="12">
        <v>32</v>
      </c>
      <c r="BN48" s="12">
        <v>0</v>
      </c>
      <c r="BO48" s="12">
        <v>230</v>
      </c>
      <c r="BP48" s="12">
        <v>0</v>
      </c>
      <c r="BQ48" s="12">
        <v>30</v>
      </c>
      <c r="BR48" s="12">
        <v>11</v>
      </c>
      <c r="BS48" s="12">
        <v>73</v>
      </c>
      <c r="BT48" s="12">
        <v>33</v>
      </c>
      <c r="BU48" s="12">
        <v>69</v>
      </c>
      <c r="BV48" s="12">
        <v>335</v>
      </c>
      <c r="BW48" s="28"/>
      <c r="BX48" s="12">
        <v>-1</v>
      </c>
      <c r="BY48" s="12">
        <v>-1</v>
      </c>
      <c r="BZ48" s="12">
        <v>-1</v>
      </c>
      <c r="CA48" s="12">
        <v>-1</v>
      </c>
      <c r="CB48" s="12">
        <v>-1</v>
      </c>
      <c r="CC48" s="12">
        <v>-1</v>
      </c>
      <c r="CD48" s="12">
        <v>-1</v>
      </c>
      <c r="CE48" s="12">
        <v>-1</v>
      </c>
      <c r="CF48" s="12">
        <v>-1</v>
      </c>
      <c r="CG48" s="12">
        <v>-1</v>
      </c>
      <c r="CH48" s="12">
        <v>-1</v>
      </c>
      <c r="CI48" s="12">
        <v>-1</v>
      </c>
      <c r="CJ48" s="47"/>
      <c r="CK48" s="48">
        <f>IF(BX48=5,320,IF(BX48=4,195,IF(BX48=3,132,IF(BX48=2,90,IF(BX48=1,58,IF(BX48=-1,0,35))))))</f>
        <v>0</v>
      </c>
      <c r="CL48" s="48">
        <f>IF(BX48=5,20,IF(BX48=4,15,IF(BX48=3,12,IF(BX48=2,10,IF(BX48=1,8,IF(BX48=-1,0,5))))))</f>
        <v>0</v>
      </c>
      <c r="CM48" s="48">
        <f>IF(BZ48=5,320,IF(BZ48=4,195,IF(BZ48=3,132,IF(BZ48=2,90,IF(BZ48=1,58,IF(BZ48=-1,0,35))))))</f>
        <v>0</v>
      </c>
      <c r="CN48" s="48">
        <f>IF(BZ48=5,20,IF(BZ48=4,15,IF(BZ48=3,12,IF(BZ48=2,10,IF(BZ48=1,8,IF(BZ48=-1,0,5))))))</f>
        <v>0</v>
      </c>
      <c r="CO48" s="48">
        <f>IF(CB48=5,320,IF(CB48=4,195,IF(CB48=3,132,IF(CB48=2,90,IF(CB48=1,58,IF(CB48=-1,0,35))))))</f>
        <v>0</v>
      </c>
      <c r="CP48" s="48">
        <f>IF(CB48=5,20,IF(CB48=4,15,IF(CB48=3,12,IF(CB48=2,10,IF(CB48=1,8,IF(CB48=-1,0,5))))))</f>
        <v>0</v>
      </c>
      <c r="CQ48" s="48">
        <f>IF(CD48=5,320,IF(CD48=4,195,IF(CD48=3,132,IF(CD48=2,90,IF(CD48=1,58,IF(CD48=-1,0,35))))))</f>
        <v>0</v>
      </c>
      <c r="CR48" s="48">
        <f>IF(CD48=5,20,IF(CD48=4,15,IF(CD48=3,12,IF(CD48=2,10,IF(CD48=1,8,IF(CD48=-1,0,5))))))</f>
        <v>0</v>
      </c>
      <c r="CS48" s="48">
        <f>IF(CF48=5,320,IF(CF48=4,195,IF(CF48=3,132,IF(CF48=2,90,IF(CF48=1,58,IF(CF48=-1,0,35))))))</f>
        <v>0</v>
      </c>
      <c r="CT48" s="48">
        <f>IF(CF48=5,20,IF(CF48=4,15,IF(CF48=3,12,IF(CF48=2,10,IF(CF48=1,8,IF(CF48=-1,0,5))))))</f>
        <v>0</v>
      </c>
      <c r="CU48" s="48">
        <f>IF(CH48=5,320,IF(CH48=4,195,IF(CH48=3,132,IF(CH48=2,90,IF(CH48=1,58,IF(CH48=-1,0,35))))))</f>
        <v>0</v>
      </c>
      <c r="CV48" s="48">
        <f>IF(CH48=5,20,IF(CH48=4,15,IF(CH48=3,12,IF(CH48=2,10,IF(CH48=1,8,IF(CH48=-1,0,5))))))</f>
        <v>0</v>
      </c>
      <c r="CW48" s="48">
        <f>IF(BY48&gt;10,(BY48/10)-ROUNDDOWN(BY48/10,0),0)+IF(CA48&gt;10,(CA48/10)-ROUNDDOWN(CA48/10,0),0)+IF(CC48&gt;10,(CC48/10)-ROUNDDOWN(CC48/10,0),0)+IF(CE48&gt;10,(CE48/10)-ROUNDDOWN(CE48/10,0),0)+IF(CG48&gt;10,(CG48/10)-ROUNDDOWN(CG48/10,0),0)+IF(CI48&gt;10,(CI48/10)-ROUNDDOWN(CI48/10,0),0)</f>
        <v>0</v>
      </c>
      <c r="CX48" s="48">
        <f>1+(CW48/10)</f>
        <v>1</v>
      </c>
    </row>
    <row r="49" ht="20.05" customHeight="1">
      <c r="A49" t="s" s="43">
        <v>327</v>
      </c>
      <c r="B49" s="49"/>
      <c r="C49" t="s" s="45">
        <v>73</v>
      </c>
      <c r="D49" s="13">
        <v>7</v>
      </c>
      <c r="E49" t="s" s="15">
        <v>232</v>
      </c>
      <c r="F49" t="s" s="15">
        <v>284</v>
      </c>
      <c r="G49" t="s" s="15">
        <v>282</v>
      </c>
      <c r="H49" s="12">
        <v>2</v>
      </c>
      <c r="I49" t="s" s="15">
        <v>235</v>
      </c>
      <c r="J49" s="12">
        <v>82</v>
      </c>
      <c r="K49" t="s" s="14">
        <v>236</v>
      </c>
      <c r="L49" t="s" s="15">
        <v>237</v>
      </c>
      <c r="M49" t="s" s="15">
        <v>19</v>
      </c>
      <c r="N49" s="46">
        <f>ROUND((SUM(AA49,T49:Y49,AC49:AE49,Z49*10)-AB49*15)*(IF(K49="Heavy",0.15,IF(K49="Medium",0,IF(K49="Light",-0.15,10)))+1),0)</f>
        <v>1017</v>
      </c>
      <c r="O49" s="46">
        <v>3845</v>
      </c>
      <c r="P49" s="46">
        <f>ROUNDDOWN((BI49+AU49+AG49)/5,0)+(BJ49+AV49+AH49)+(BN49+AZ49+AL49)+(BO49+BA49+AM49)+(BK49+AW49+AI49)+(BS49+BE49+AQ49)+(BL49+AX49+AJ49)+(BQ49+BC49+AO49)+(2*((BT49+BF49+AR49)+(BU49+BG49+AS49)))+(CK49+CM49+CO49+CQ49+CS49+CU49)+(CL49*BY49)+(CN49*CA49)+(CP49+CC49)+(CR49+CE49)+(CT49+CG49)+(CV49+CI49)+BV49</f>
        <v>3535</v>
      </c>
      <c r="Q49" s="46">
        <f>ROUNDDOWN(((S49/5)+T49+X49+Y49+U49+AC49+V49+AA49+(2*(AD49+AE49))+CK49+CM49+CO49+CQ49+CS49+CU49+(CL49*BX49)+(CN49*BZ49)+(CP49*CB49)+(CR49*CD49)+(CT49*CF49)+(CV49*CH49))*CX49,0)</f>
        <v>3155</v>
      </c>
      <c r="R49" s="46">
        <f>ROUNDDOWN(AVERAGE(P49:Q49),0)</f>
        <v>3345</v>
      </c>
      <c r="S49" s="12">
        <f>AG49+AU49+BI49</f>
        <v>1505</v>
      </c>
      <c r="T49" s="12">
        <f>AH49+AV49+BJ49</f>
        <v>54</v>
      </c>
      <c r="U49" s="12">
        <f>AI49+AW49+BK49</f>
        <v>179</v>
      </c>
      <c r="V49" s="12">
        <f>AJ49+AX49+BL49</f>
        <v>118</v>
      </c>
      <c r="W49" s="12">
        <f>AK49+AY49+BM49</f>
        <v>51</v>
      </c>
      <c r="X49" s="12">
        <f>AL49+AZ49+BN49</f>
        <v>336</v>
      </c>
      <c r="Y49" s="12">
        <f>AM49+BA49+BO49</f>
        <v>0</v>
      </c>
      <c r="Z49" s="12">
        <f>AN49+BB49+BP49</f>
        <v>0</v>
      </c>
      <c r="AA49" s="12">
        <f>AO49+BC49+BQ49</f>
        <v>49</v>
      </c>
      <c r="AB49" s="12">
        <f>AP49+BD49+BR49</f>
        <v>8</v>
      </c>
      <c r="AC49" s="12">
        <f>AQ49+BE49+BS49</f>
        <v>128</v>
      </c>
      <c r="AD49" s="12">
        <f>AR49+BF49+BT49</f>
        <v>207</v>
      </c>
      <c r="AE49" s="12">
        <f>AS49+BG49+BU49</f>
        <v>194</v>
      </c>
      <c r="AF49" s="28"/>
      <c r="AG49" s="12">
        <v>48</v>
      </c>
      <c r="AH49" s="12">
        <v>15</v>
      </c>
      <c r="AI49" s="12">
        <v>75</v>
      </c>
      <c r="AJ49" s="12">
        <v>0</v>
      </c>
      <c r="AK49" s="12">
        <v>0</v>
      </c>
      <c r="AL49" s="12">
        <v>45</v>
      </c>
      <c r="AM49" s="12">
        <v>0</v>
      </c>
      <c r="AN49" s="12">
        <v>0</v>
      </c>
      <c r="AO49" s="12">
        <v>7</v>
      </c>
      <c r="AP49" s="12">
        <v>0</v>
      </c>
      <c r="AQ49" s="12">
        <v>0</v>
      </c>
      <c r="AR49" s="12">
        <v>31</v>
      </c>
      <c r="AS49" s="12">
        <v>30</v>
      </c>
      <c r="AT49" s="28"/>
      <c r="AU49" s="12">
        <f>IF($H49=3,IF(OR($F49="DDV",$F49="DDG",$F49="DD"),'Fleet Tech - Tech'!B$3,IF($F49="CL",'Fleet Tech - Tech'!B$4,IF($F49="CA",'Fleet Tech - Tech'!B$5,IF($F49="BC",'Fleet Tech - Tech'!B$6,IF($F49="BB",'Fleet Tech - Tech'!B$7,IF($F49="CVL",'Fleet Tech - Tech'!B$8,IF($F49="CV",'Fleet Tech - Tech'!B$9,IF($F49="SS",'Fleet Tech - Tech'!B$10,IF($F49="BBV",'Fleet Tech - Tech'!B$11,IF($F49="CB",'Fleet Tech - Tech'!B$15,IF($F49="AE",'Fleet Tech - Tech'!B$16,IF($F49="IX",'Fleet Tech - Tech'!B$17,IF($F49="BM",'Fleet Tech - Tech'!B$13,IF($F49="AR",'Fleet Tech - Tech'!B$12,IF($F49="SSV",'Fleet Tech - Tech'!B$14,"nil"))))))))))))))),0)</f>
        <v>0</v>
      </c>
      <c r="AV49" s="12">
        <f>IF($H49=3,IF(OR($F49="DDV",$F49="DDG",$F49="DD"),'Fleet Tech - Tech'!C$3,IF($F49="CL",'Fleet Tech - Tech'!C$4,IF($F49="CA",'Fleet Tech - Tech'!C$5,IF($F49="BC",'Fleet Tech - Tech'!C$6,IF($F49="BB",'Fleet Tech - Tech'!C$7,IF($F49="CVL",'Fleet Tech - Tech'!C$8,IF($F49="CV",'Fleet Tech - Tech'!C$9,IF($F49="SS",'Fleet Tech - Tech'!C$10,IF($F49="BBV",'Fleet Tech - Tech'!C$11,IF($F49="CB",'Fleet Tech - Tech'!C$15,IF($F49="AE",'Fleet Tech - Tech'!C$16,IF($F49="IX",'Fleet Tech - Tech'!C$17,IF($F49="BM",'Fleet Tech - Tech'!C$13,IF($F49="AR",'Fleet Tech - Tech'!C$12,IF($F49="SSV",'Fleet Tech - Tech'!C$14,"nil"))))))))))))))),0)</f>
        <v>0</v>
      </c>
      <c r="AW49" s="12">
        <f>IF($H49=3,IF(OR($F49="DDV",$F49="DDG",$F49="DD"),'Fleet Tech - Tech'!D$3,IF($F49="CL",'Fleet Tech - Tech'!D$4,IF($F49="CA",'Fleet Tech - Tech'!D$5,IF($F49="BC",'Fleet Tech - Tech'!D$6,IF($F49="BB",'Fleet Tech - Tech'!D$7,IF($F49="CVL",'Fleet Tech - Tech'!D$8,IF($F49="CV",'Fleet Tech - Tech'!D$9,IF($F49="SS",'Fleet Tech - Tech'!D$10,IF($F49="BBV",'Fleet Tech - Tech'!D$11,IF($F49="CB",'Fleet Tech - Tech'!D$15,IF($F49="AE",'Fleet Tech - Tech'!D$16,IF($F49="IX",'Fleet Tech - Tech'!D$17,IF($F49="BM",'Fleet Tech - Tech'!D$13,IF($F49="AR",'Fleet Tech - Tech'!D$12,IF($F49="SSV",'Fleet Tech - Tech'!D$14,"nil"))))))))))))))),0)</f>
        <v>0</v>
      </c>
      <c r="AX49" s="12">
        <f>IF($H49=3,IF(OR($F49="DDV",$F49="DDG",$F49="DD"),'Fleet Tech - Tech'!E$3,IF($F49="CL",'Fleet Tech - Tech'!E$4,IF($F49="CA",'Fleet Tech - Tech'!E$5,IF($F49="BC",'Fleet Tech - Tech'!E$6,IF($F49="BB",'Fleet Tech - Tech'!E$7,IF($F49="CVL",'Fleet Tech - Tech'!E$8,IF($F49="CV",'Fleet Tech - Tech'!E$9,IF($F49="SS",'Fleet Tech - Tech'!E$10,IF($F49="BBV",'Fleet Tech - Tech'!E$11,IF($F49="CB",'Fleet Tech - Tech'!E$15,IF($F49="AE",'Fleet Tech - Tech'!E$16,IF($F49="IX",'Fleet Tech - Tech'!E$17,IF($F49="BM",'Fleet Tech - Tech'!E$13,IF($F49="AR",'Fleet Tech - Tech'!E$12,IF($F49="SSV",'Fleet Tech - Tech'!E$14,"nil"))))))))))))))),0)</f>
        <v>0</v>
      </c>
      <c r="AY49" s="12">
        <f>IF($H49=3,IF(OR($F49="DDV",$F49="DDG",$F49="DD"),'Fleet Tech - Tech'!F$3,IF($F49="CL",'Fleet Tech - Tech'!F$4,IF($F49="CA",'Fleet Tech - Tech'!F$5,IF($F49="BC",'Fleet Tech - Tech'!F$6,IF($F49="BB",'Fleet Tech - Tech'!F$7,IF($F49="CVL",'Fleet Tech - Tech'!F$8,IF($F49="CV",'Fleet Tech - Tech'!F$9,IF($F49="SS",'Fleet Tech - Tech'!F$10,IF($F49="BBV",'Fleet Tech - Tech'!F$11,IF($F49="CB",'Fleet Tech - Tech'!F$15,IF($F49="AE",'Fleet Tech - Tech'!F$16,IF($F49="IX",'Fleet Tech - Tech'!F$17,IF($F49="BM",'Fleet Tech - Tech'!F$13,IF($F49="AR",'Fleet Tech - Tech'!F$12,IF($F49="SSV",'Fleet Tech - Tech'!F$14,"nil"))))))))))))))),0)</f>
        <v>0</v>
      </c>
      <c r="AZ49" s="12">
        <f>IF($H49=3,IF(OR($F49="DDV",$F49="DDG",$F49="DD"),'Fleet Tech - Tech'!G$3,IF($F49="CL",'Fleet Tech - Tech'!G$4,IF($F49="CA",'Fleet Tech - Tech'!G$5,IF($F49="BC",'Fleet Tech - Tech'!G$6,IF($F49="BB",'Fleet Tech - Tech'!G$7,IF($F49="CVL",'Fleet Tech - Tech'!G$8,IF($F49="CV",'Fleet Tech - Tech'!G$9,IF($F49="SS",'Fleet Tech - Tech'!G$10,IF($F49="BBV",'Fleet Tech - Tech'!G$11,IF($F49="CB",'Fleet Tech - Tech'!G$15,IF($F49="AE",'Fleet Tech - Tech'!G$16,IF($F49="IX",'Fleet Tech - Tech'!G$17,IF($F49="BM",'Fleet Tech - Tech'!G$13,IF($F49="AR",'Fleet Tech - Tech'!G$12,IF($F49="SSV",'Fleet Tech - Tech'!G$14,"nil"))))))))))))))),0)</f>
        <v>0</v>
      </c>
      <c r="BA49" s="12">
        <f>IF($H49=3,IF(OR($F49="DDV",$F49="DDG",$F49="DD"),'Fleet Tech - Tech'!H$3,IF($F49="CL",'Fleet Tech - Tech'!H$4,IF($F49="CA",'Fleet Tech - Tech'!H$5,IF($F49="BC",'Fleet Tech - Tech'!H$6,IF($F49="BB",'Fleet Tech - Tech'!H$7,IF($F49="CVL",'Fleet Tech - Tech'!H$8,IF($F49="CV",'Fleet Tech - Tech'!H$9,IF($F49="SS",'Fleet Tech - Tech'!H$10,IF($F49="BBV",'Fleet Tech - Tech'!H$11,IF($F49="CB",'Fleet Tech - Tech'!H$15,IF($F49="AE",'Fleet Tech - Tech'!H$16,IF($F49="IX",'Fleet Tech - Tech'!H$17,IF($F49="BM",'Fleet Tech - Tech'!H$13,IF($F49="AR",'Fleet Tech - Tech'!H$12,IF($F49="SSV",'Fleet Tech - Tech'!H$14,"nil"))))))))))))))),0)</f>
        <v>0</v>
      </c>
      <c r="BB49" s="12">
        <f>IF($H49=3,IF(OR($F49="DDV",$F49="DDG",$F49="DD"),'Fleet Tech - Tech'!I$3,IF($F49="CL",'Fleet Tech - Tech'!I$4,IF($F49="CA",'Fleet Tech - Tech'!I$5,IF($F49="BC",'Fleet Tech - Tech'!I$6,IF($F49="BB",'Fleet Tech - Tech'!I$7,IF($F49="CVL",'Fleet Tech - Tech'!I$8,IF($F49="CV",'Fleet Tech - Tech'!I$9,IF($F49="SS",'Fleet Tech - Tech'!I$10,IF($F49="BBV",'Fleet Tech - Tech'!I$11,IF($F49="CB",'Fleet Tech - Tech'!I$15,IF($F49="AE",'Fleet Tech - Tech'!I$16,IF($F49="IX",'Fleet Tech - Tech'!I$17,IF($F49="BM",'Fleet Tech - Tech'!I$13,IF($F49="AR",'Fleet Tech - Tech'!I$12,IF($F49="SSV",'Fleet Tech - Tech'!I$14,"nil"))))))))))))))),0)</f>
        <v>0</v>
      </c>
      <c r="BC49" s="12">
        <f>IF($H49=3,IF(OR($F49="DDV",$F49="DDG",$F49="DD"),'Fleet Tech - Tech'!J$3,IF($F49="CL",'Fleet Tech - Tech'!J$4,IF($F49="CA",'Fleet Tech - Tech'!J$5,IF($F49="BC",'Fleet Tech - Tech'!J$6,IF($F49="BB",'Fleet Tech - Tech'!J$7,IF($F49="CVL",'Fleet Tech - Tech'!J$8,IF($F49="CV",'Fleet Tech - Tech'!J$9,IF($F49="SS",'Fleet Tech - Tech'!J$10,IF($F49="BBV",'Fleet Tech - Tech'!J$11,IF($F49="CB",'Fleet Tech - Tech'!J$15,IF($F49="AE",'Fleet Tech - Tech'!J$16,IF($F49="IX",'Fleet Tech - Tech'!J$17,IF($F49="BM",'Fleet Tech - Tech'!J$13,IF($F49="AR",'Fleet Tech - Tech'!J$12,IF($F49="SSV",'Fleet Tech - Tech'!J$14,"nil"))))))))))))))),0)</f>
        <v>0</v>
      </c>
      <c r="BD49" s="12">
        <f>IF($H49=3,IF(OR($F49="DDV",$F49="DDG",$F49="DD"),'Fleet Tech - Tech'!K$3,IF($F49="CL",'Fleet Tech - Tech'!K$4,IF($F49="CA",'Fleet Tech - Tech'!K$5,IF($F49="BC",'Fleet Tech - Tech'!K$6,IF($F49="BB",'Fleet Tech - Tech'!K$7,IF($F49="CVL",'Fleet Tech - Tech'!K$8,IF($F49="CV",'Fleet Tech - Tech'!K$9,IF($F49="SS",'Fleet Tech - Tech'!K$10,IF($F49="BBV",'Fleet Tech - Tech'!K$11,IF($F49="CB",'Fleet Tech - Tech'!K$15,IF($F49="AE",'Fleet Tech - Tech'!K$16,IF($F49="IX",'Fleet Tech - Tech'!K$17,IF($F49="BM",'Fleet Tech - Tech'!K$13,IF($F49="AR",'Fleet Tech - Tech'!K$12,IF($F49="SSV",'Fleet Tech - Tech'!K$14,"nil"))))))))))))))),0)</f>
        <v>0</v>
      </c>
      <c r="BE49" s="12">
        <f>IF($H49=3,IF(OR($F49="DDV",$F49="DDG",$F49="DD"),'Fleet Tech - Tech'!L$3,IF($F49="CL",'Fleet Tech - Tech'!L$4,IF($F49="CA",'Fleet Tech - Tech'!L$5,IF($F49="BC",'Fleet Tech - Tech'!L$6,IF($F49="BB",'Fleet Tech - Tech'!L$7,IF($F49="CVL",'Fleet Tech - Tech'!L$8,IF($F49="CV",'Fleet Tech - Tech'!L$9,IF($F49="SS",'Fleet Tech - Tech'!L$10,IF($F49="BBV",'Fleet Tech - Tech'!L$11,IF($F49="CB",'Fleet Tech - Tech'!L$15,IF($F49="AE",'Fleet Tech - Tech'!L$16,IF($F49="IX",'Fleet Tech - Tech'!L$17,IF($F49="BM",'Fleet Tech - Tech'!L$13,IF($F49="AR",'Fleet Tech - Tech'!L$12,IF($F49="SSV",'Fleet Tech - Tech'!L$14,"nil"))))))))))))))),0)</f>
        <v>0</v>
      </c>
      <c r="BF49" s="12">
        <f>IF($H49=3,IF(OR($F49="DDV",$F49="DDG",$F49="DD"),'Fleet Tech - Tech'!M$3,IF($F49="CL",'Fleet Tech - Tech'!M$4,IF($F49="CA",'Fleet Tech - Tech'!M$5,IF($F49="BC",'Fleet Tech - Tech'!M$6,IF($F49="BB",'Fleet Tech - Tech'!M$7,IF($F49="CVL",'Fleet Tech - Tech'!M$8,IF($F49="CV",'Fleet Tech - Tech'!M$9,IF($F49="SS",'Fleet Tech - Tech'!M$10,IF($F49="BBV",'Fleet Tech - Tech'!M$11,IF($F49="CB",'Fleet Tech - Tech'!M$15,IF($F49="AE",'Fleet Tech - Tech'!M$16,IF($F49="IX",'Fleet Tech - Tech'!M$17,IF($F49="BM",'Fleet Tech - Tech'!M$13,IF($F49="AR",'Fleet Tech - Tech'!M$12,IF($F49="SSV",'Fleet Tech - Tech'!M$14,"nil"))))))))))))))),0)</f>
        <v>0</v>
      </c>
      <c r="BG49" s="12">
        <f>IF($H49=3,IF(OR($F49="DDV",$F49="DDG",$F49="DD"),'Fleet Tech - Tech'!N$3,IF($F49="CL",'Fleet Tech - Tech'!N$4,IF($F49="CA",'Fleet Tech - Tech'!N$5,IF($F49="BC",'Fleet Tech - Tech'!N$6,IF($F49="BB",'Fleet Tech - Tech'!N$7,IF($F49="CVL",'Fleet Tech - Tech'!N$8,IF($F49="CV",'Fleet Tech - Tech'!N$9,IF($F49="SS",'Fleet Tech - Tech'!N$10,IF($F49="BBV",'Fleet Tech - Tech'!N$11,IF($F49="CB",'Fleet Tech - Tech'!N$15,IF($F49="AE",'Fleet Tech - Tech'!N$16,IF($F49="IX",'Fleet Tech - Tech'!N$17,IF($F49="BM",'Fleet Tech - Tech'!N$13,IF($F49="AR",'Fleet Tech - Tech'!N$12,IF($F49="SSV",'Fleet Tech - Tech'!N$14,"nil"))))))))))))))),0)</f>
        <v>0</v>
      </c>
      <c r="BH49" s="28"/>
      <c r="BI49" s="12">
        <v>1457</v>
      </c>
      <c r="BJ49" s="12">
        <v>39</v>
      </c>
      <c r="BK49" s="12">
        <v>104</v>
      </c>
      <c r="BL49" s="12">
        <v>118</v>
      </c>
      <c r="BM49" s="12">
        <v>51</v>
      </c>
      <c r="BN49" s="12">
        <v>291</v>
      </c>
      <c r="BO49" s="12">
        <v>0</v>
      </c>
      <c r="BP49" s="12">
        <v>0</v>
      </c>
      <c r="BQ49" s="12">
        <v>42</v>
      </c>
      <c r="BR49" s="12">
        <v>8</v>
      </c>
      <c r="BS49" s="12">
        <v>128</v>
      </c>
      <c r="BT49" s="12">
        <v>176</v>
      </c>
      <c r="BU49" s="12">
        <v>164</v>
      </c>
      <c r="BV49" s="12">
        <v>335</v>
      </c>
      <c r="BW49" s="28"/>
      <c r="BX49" s="12">
        <v>4</v>
      </c>
      <c r="BY49" s="12">
        <v>7</v>
      </c>
      <c r="BZ49" s="12">
        <v>4</v>
      </c>
      <c r="CA49" s="12">
        <v>10</v>
      </c>
      <c r="CB49" s="12">
        <v>4</v>
      </c>
      <c r="CC49" s="12">
        <v>10</v>
      </c>
      <c r="CD49" s="12">
        <v>4</v>
      </c>
      <c r="CE49" s="12">
        <v>7</v>
      </c>
      <c r="CF49" s="12">
        <v>3</v>
      </c>
      <c r="CG49" s="12">
        <v>8</v>
      </c>
      <c r="CH49" s="12">
        <v>-1</v>
      </c>
      <c r="CI49" s="12">
        <v>-1</v>
      </c>
      <c r="CJ49" s="47"/>
      <c r="CK49" s="48">
        <f>IF(BX49=5,320,IF(BX49=4,195,IF(BX49=3,132,IF(BX49=2,90,IF(BX49=1,58,IF(BX49=-1,0,35))))))</f>
        <v>195</v>
      </c>
      <c r="CL49" s="48">
        <f>IF(BX49=5,20,IF(BX49=4,15,IF(BX49=3,12,IF(BX49=2,10,IF(BX49=1,8,IF(BX49=-1,0,5))))))</f>
        <v>15</v>
      </c>
      <c r="CM49" s="48">
        <f>IF(BZ49=5,320,IF(BZ49=4,195,IF(BZ49=3,132,IF(BZ49=2,90,IF(BZ49=1,58,IF(BZ49=-1,0,35))))))</f>
        <v>195</v>
      </c>
      <c r="CN49" s="48">
        <f>IF(BZ49=5,20,IF(BZ49=4,15,IF(BZ49=3,12,IF(BZ49=2,10,IF(BZ49=1,8,IF(BZ49=-1,0,5))))))</f>
        <v>15</v>
      </c>
      <c r="CO49" s="48">
        <f>IF(CB49=5,320,IF(CB49=4,195,IF(CB49=3,132,IF(CB49=2,90,IF(CB49=1,58,IF(CB49=-1,0,35))))))</f>
        <v>195</v>
      </c>
      <c r="CP49" s="48">
        <f>IF(CB49=5,20,IF(CB49=4,15,IF(CB49=3,12,IF(CB49=2,10,IF(CB49=1,8,IF(CB49=-1,0,5))))))</f>
        <v>15</v>
      </c>
      <c r="CQ49" s="48">
        <f>IF(CD49=5,320,IF(CD49=4,195,IF(CD49=3,132,IF(CD49=2,90,IF(CD49=1,58,IF(CD49=-1,0,35))))))</f>
        <v>195</v>
      </c>
      <c r="CR49" s="48">
        <f>IF(CD49=5,20,IF(CD49=4,15,IF(CD49=3,12,IF(CD49=2,10,IF(CD49=1,8,IF(CD49=-1,0,5))))))</f>
        <v>15</v>
      </c>
      <c r="CS49" s="48">
        <f>IF(CF49=5,320,IF(CF49=4,195,IF(CF49=3,132,IF(CF49=2,90,IF(CF49=1,58,IF(CF49=-1,0,35))))))</f>
        <v>132</v>
      </c>
      <c r="CT49" s="48">
        <f>IF(CF49=5,20,IF(CF49=4,15,IF(CF49=3,12,IF(CF49=2,10,IF(CF49=1,8,IF(CF49=-1,0,5))))))</f>
        <v>12</v>
      </c>
      <c r="CU49" s="48">
        <f>IF(CH49=5,320,IF(CH49=4,195,IF(CH49=3,132,IF(CH49=2,90,IF(CH49=1,58,IF(CH49=-1,0,35))))))</f>
        <v>0</v>
      </c>
      <c r="CV49" s="48">
        <f>IF(CH49=5,20,IF(CH49=4,15,IF(CH49=3,12,IF(CH49=2,10,IF(CH49=1,8,IF(CH49=-1,0,5))))))</f>
        <v>0</v>
      </c>
      <c r="CW49" s="48">
        <f>IF(BY49&gt;10,(BY49/10)-ROUNDDOWN(BY49/10,0),0)+IF(CA49&gt;10,(CA49/10)-ROUNDDOWN(CA49/10,0),0)+IF(CC49&gt;10,(CC49/10)-ROUNDDOWN(CC49/10,0),0)+IF(CE49&gt;10,(CE49/10)-ROUNDDOWN(CE49/10,0),0)+IF(CG49&gt;10,(CG49/10)-ROUNDDOWN(CG49/10,0),0)+IF(CI49&gt;10,(CI49/10)-ROUNDDOWN(CI49/10,0),0)</f>
        <v>0</v>
      </c>
      <c r="CX49" s="48">
        <f>1+(CW49/10)</f>
        <v>1</v>
      </c>
    </row>
    <row r="50" ht="20.05" customHeight="1">
      <c r="A50" t="s" s="43">
        <v>328</v>
      </c>
      <c r="B50" s="49"/>
      <c r="C50" t="s" s="45">
        <v>73</v>
      </c>
      <c r="D50" s="13">
        <v>7</v>
      </c>
      <c r="E50" t="s" s="15">
        <v>240</v>
      </c>
      <c r="F50" t="s" s="15">
        <v>313</v>
      </c>
      <c r="G50" t="s" s="15">
        <v>282</v>
      </c>
      <c r="H50" s="12">
        <v>3</v>
      </c>
      <c r="I50" t="s" s="15">
        <v>277</v>
      </c>
      <c r="J50" s="12">
        <v>82</v>
      </c>
      <c r="K50" t="s" s="14">
        <v>236</v>
      </c>
      <c r="L50" t="s" s="15">
        <v>265</v>
      </c>
      <c r="M50" t="s" s="15">
        <v>22</v>
      </c>
      <c r="N50" s="46">
        <f>ROUND((SUM(AA50,T50:Y50,AC50:AE50,Z50*10)-AB50*15)*(IF(K50="Heavy",0.15,IF(K50="Medium",0,IF(K50="Light",-0.15,10)))+1),0)</f>
        <v>454</v>
      </c>
      <c r="O50" s="46">
        <v>2355</v>
      </c>
      <c r="P50" s="46">
        <f>ROUNDDOWN((BI50+AU50+AG50)/5,0)+(BJ50+AV50+AH50)+(BN50+AZ50+AL50)+(BO50+BA50+AM50)+(BK50+AW50+AI50)+(BS50+BE50+AQ50)+(BL50+AX50+AJ50)+(BQ50+BC50+AO50)+(2*((BT50+BF50+AR50)+(BU50+BG50+AS50)))+(CK50+CM50+CO50+CQ50+CS50+CU50)+(CL50*BY50)+(CN50*CA50)+(CP50+CC50)+(CR50+CE50)+(CT50+CG50)+(CV50+CI50)+BV50</f>
        <v>2619</v>
      </c>
      <c r="Q50" s="46">
        <f>ROUNDDOWN(((S50/5)+T50+X50+Y50+U50+AC50+V50+AA50+(2*(AD50+AE50))+CK50+CM50+CO50+CQ50+CS50+CU50+(CL50*BX50)+(CN50*BZ50)+(CP50*CB50)+(CR50*CD50)+(CT50*CF50)+(CV50*CH50))*CX50,0)</f>
        <v>2452</v>
      </c>
      <c r="R50" s="46">
        <f>ROUNDDOWN(AVERAGE(P50:Q50),0)</f>
        <v>2535</v>
      </c>
      <c r="S50" s="12">
        <f>AG50+AU50+BI50</f>
        <v>3352</v>
      </c>
      <c r="T50" s="12">
        <f>AH50+AV50+BJ50</f>
        <v>261</v>
      </c>
      <c r="U50" s="12">
        <f>AI50+AW50+BK50</f>
        <v>188</v>
      </c>
      <c r="V50" s="12">
        <f>AJ50+AX50+BL50</f>
        <v>0</v>
      </c>
      <c r="W50" s="12">
        <f>AK50+AY50+BM50</f>
        <v>19</v>
      </c>
      <c r="X50" s="12">
        <f>AL50+AZ50+BN50</f>
        <v>3</v>
      </c>
      <c r="Y50" s="12">
        <f>AM50+BA50+BO50</f>
        <v>14</v>
      </c>
      <c r="Z50" s="12">
        <f>AN50+BB50+BP50</f>
        <v>0</v>
      </c>
      <c r="AA50" s="12">
        <f>AO50+BC50+BQ50</f>
        <v>12</v>
      </c>
      <c r="AB50" s="12">
        <f>AP50+BD50+BR50</f>
        <v>10</v>
      </c>
      <c r="AC50" s="12">
        <f>AQ50+BE50+BS50</f>
        <v>84</v>
      </c>
      <c r="AD50" s="12">
        <f>AR50+BF50+BT50</f>
        <v>42</v>
      </c>
      <c r="AE50" s="12">
        <f>AS50+BG50+BU50</f>
        <v>61</v>
      </c>
      <c r="AF50" s="28"/>
      <c r="AG50" s="12">
        <v>500</v>
      </c>
      <c r="AH50" s="12">
        <v>70</v>
      </c>
      <c r="AI50" s="12">
        <v>53</v>
      </c>
      <c r="AJ50" s="12">
        <v>0</v>
      </c>
      <c r="AK50" s="12">
        <v>0</v>
      </c>
      <c r="AL50" s="12">
        <v>0</v>
      </c>
      <c r="AM50" s="12">
        <v>14</v>
      </c>
      <c r="AN50" s="12">
        <v>0</v>
      </c>
      <c r="AO50" s="12">
        <v>0</v>
      </c>
      <c r="AP50" s="12">
        <v>0</v>
      </c>
      <c r="AQ50" s="12">
        <v>0</v>
      </c>
      <c r="AR50" s="12">
        <v>0</v>
      </c>
      <c r="AS50" s="12">
        <v>0</v>
      </c>
      <c r="AT50" s="28"/>
      <c r="AU50" s="12">
        <f>IF($H50=3,IF(OR($F50="DDV",$F50="DDG",$F50="DD"),'Fleet Tech - Tech'!B$3,IF($F50="CL",'Fleet Tech - Tech'!B$4,IF($F50="CA",'Fleet Tech - Tech'!B$5,IF($F50="BC",'Fleet Tech - Tech'!B$6,IF($F50="BB",'Fleet Tech - Tech'!B$7,IF($F50="CVL",'Fleet Tech - Tech'!B$8,IF($F50="CV",'Fleet Tech - Tech'!B$9,IF($F50="SS",'Fleet Tech - Tech'!B$10,IF($F50="BBV",'Fleet Tech - Tech'!B$11,IF($F50="CB",'Fleet Tech - Tech'!B$15,IF($F50="AE",'Fleet Tech - Tech'!B$16,IF($F50="IX",'Fleet Tech - Tech'!B$17,IF($F50="BM",'Fleet Tech - Tech'!B$13,IF($F50="AR",'Fleet Tech - Tech'!B$12,IF($F50="SSV",'Fleet Tech - Tech'!B$14,"nil"))))))))))))))),0)</f>
        <v>52</v>
      </c>
      <c r="AV50" s="12">
        <f>IF($H50=3,IF(OR($F50="DDV",$F50="DDG",$F50="DD"),'Fleet Tech - Tech'!C$3,IF($F50="CL",'Fleet Tech - Tech'!C$4,IF($F50="CA",'Fleet Tech - Tech'!C$5,IF($F50="BC",'Fleet Tech - Tech'!C$6,IF($F50="BB",'Fleet Tech - Tech'!C$7,IF($F50="CVL",'Fleet Tech - Tech'!C$8,IF($F50="CV",'Fleet Tech - Tech'!C$9,IF($F50="SS",'Fleet Tech - Tech'!C$10,IF($F50="BBV",'Fleet Tech - Tech'!C$11,IF($F50="CB",'Fleet Tech - Tech'!C$15,IF($F50="AE",'Fleet Tech - Tech'!C$16,IF($F50="IX",'Fleet Tech - Tech'!C$17,IF($F50="BM",'Fleet Tech - Tech'!C$13,IF($F50="AR",'Fleet Tech - Tech'!C$12,IF($F50="SSV",'Fleet Tech - Tech'!C$14,"nil"))))))))))))))),0)</f>
        <v>4</v>
      </c>
      <c r="AW50" s="12">
        <f>IF($H50=3,IF(OR($F50="DDV",$F50="DDG",$F50="DD"),'Fleet Tech - Tech'!D$3,IF($F50="CL",'Fleet Tech - Tech'!D$4,IF($F50="CA",'Fleet Tech - Tech'!D$5,IF($F50="BC",'Fleet Tech - Tech'!D$6,IF($F50="BB",'Fleet Tech - Tech'!D$7,IF($F50="CVL",'Fleet Tech - Tech'!D$8,IF($F50="CV",'Fleet Tech - Tech'!D$9,IF($F50="SS",'Fleet Tech - Tech'!D$10,IF($F50="BBV",'Fleet Tech - Tech'!D$11,IF($F50="CB",'Fleet Tech - Tech'!D$15,IF($F50="AE",'Fleet Tech - Tech'!D$16,IF($F50="IX",'Fleet Tech - Tech'!D$17,IF($F50="BM",'Fleet Tech - Tech'!D$13,IF($F50="AR",'Fleet Tech - Tech'!D$12,IF($F50="SSV",'Fleet Tech - Tech'!D$14,"nil"))))))))))))))),0)</f>
        <v>0</v>
      </c>
      <c r="AX50" s="12">
        <f>IF($H50=3,IF(OR($F50="DDV",$F50="DDG",$F50="DD"),'Fleet Tech - Tech'!E$3,IF($F50="CL",'Fleet Tech - Tech'!E$4,IF($F50="CA",'Fleet Tech - Tech'!E$5,IF($F50="BC",'Fleet Tech - Tech'!E$6,IF($F50="BB",'Fleet Tech - Tech'!E$7,IF($F50="CVL",'Fleet Tech - Tech'!E$8,IF($F50="CV",'Fleet Tech - Tech'!E$9,IF($F50="SS",'Fleet Tech - Tech'!E$10,IF($F50="BBV",'Fleet Tech - Tech'!E$11,IF($F50="CB",'Fleet Tech - Tech'!E$15,IF($F50="AE",'Fleet Tech - Tech'!E$16,IF($F50="IX",'Fleet Tech - Tech'!E$17,IF($F50="BM",'Fleet Tech - Tech'!E$13,IF($F50="AR",'Fleet Tech - Tech'!E$12,IF($F50="SSV",'Fleet Tech - Tech'!E$14,"nil"))))))))))))))),0)</f>
        <v>0</v>
      </c>
      <c r="AY50" s="12">
        <f>IF($H50=3,IF(OR($F50="DDV",$F50="DDG",$F50="DD"),'Fleet Tech - Tech'!F$3,IF($F50="CL",'Fleet Tech - Tech'!F$4,IF($F50="CA",'Fleet Tech - Tech'!F$5,IF($F50="BC",'Fleet Tech - Tech'!F$6,IF($F50="BB",'Fleet Tech - Tech'!F$7,IF($F50="CVL",'Fleet Tech - Tech'!F$8,IF($F50="CV",'Fleet Tech - Tech'!F$9,IF($F50="SS",'Fleet Tech - Tech'!F$10,IF($F50="BBV",'Fleet Tech - Tech'!F$11,IF($F50="CB",'Fleet Tech - Tech'!F$15,IF($F50="AE",'Fleet Tech - Tech'!F$16,IF($F50="IX",'Fleet Tech - Tech'!F$17,IF($F50="BM",'Fleet Tech - Tech'!F$13,IF($F50="AR",'Fleet Tech - Tech'!F$12,IF($F50="SSV",'Fleet Tech - Tech'!F$14,"nil"))))))))))))))),0)</f>
        <v>0</v>
      </c>
      <c r="AZ50" s="12">
        <f>IF($H50=3,IF(OR($F50="DDV",$F50="DDG",$F50="DD"),'Fleet Tech - Tech'!G$3,IF($F50="CL",'Fleet Tech - Tech'!G$4,IF($F50="CA",'Fleet Tech - Tech'!G$5,IF($F50="BC",'Fleet Tech - Tech'!G$6,IF($F50="BB",'Fleet Tech - Tech'!G$7,IF($F50="CVL",'Fleet Tech - Tech'!G$8,IF($F50="CV",'Fleet Tech - Tech'!G$9,IF($F50="SS",'Fleet Tech - Tech'!G$10,IF($F50="BBV",'Fleet Tech - Tech'!G$11,IF($F50="CB",'Fleet Tech - Tech'!G$15,IF($F50="AE",'Fleet Tech - Tech'!G$16,IF($F50="IX",'Fleet Tech - Tech'!G$17,IF($F50="BM",'Fleet Tech - Tech'!G$13,IF($F50="AR",'Fleet Tech - Tech'!G$12,IF($F50="SSV",'Fleet Tech - Tech'!G$14,"nil"))))))))))))))),0)</f>
        <v>3</v>
      </c>
      <c r="BA50" s="12">
        <f>IF($H50=3,IF(OR($F50="DDV",$F50="DDG",$F50="DD"),'Fleet Tech - Tech'!H$3,IF($F50="CL",'Fleet Tech - Tech'!H$4,IF($F50="CA",'Fleet Tech - Tech'!H$5,IF($F50="BC",'Fleet Tech - Tech'!H$6,IF($F50="BB",'Fleet Tech - Tech'!H$7,IF($F50="CVL",'Fleet Tech - Tech'!H$8,IF($F50="CV",'Fleet Tech - Tech'!H$9,IF($F50="SS",'Fleet Tech - Tech'!H$10,IF($F50="BBV",'Fleet Tech - Tech'!H$11,IF($F50="CB",'Fleet Tech - Tech'!H$15,IF($F50="AE",'Fleet Tech - Tech'!H$16,IF($F50="IX",'Fleet Tech - Tech'!H$17,IF($F50="BM",'Fleet Tech - Tech'!H$13,IF($F50="AR",'Fleet Tech - Tech'!H$12,IF($F50="SSV",'Fleet Tech - Tech'!H$14,"nil"))))))))))))))),0)</f>
        <v>0</v>
      </c>
      <c r="BB50" s="12">
        <f>IF($H50=3,IF(OR($F50="DDV",$F50="DDG",$F50="DD"),'Fleet Tech - Tech'!I$3,IF($F50="CL",'Fleet Tech - Tech'!I$4,IF($F50="CA",'Fleet Tech - Tech'!I$5,IF($F50="BC",'Fleet Tech - Tech'!I$6,IF($F50="BB",'Fleet Tech - Tech'!I$7,IF($F50="CVL",'Fleet Tech - Tech'!I$8,IF($F50="CV",'Fleet Tech - Tech'!I$9,IF($F50="SS",'Fleet Tech - Tech'!I$10,IF($F50="BBV",'Fleet Tech - Tech'!I$11,IF($F50="CB",'Fleet Tech - Tech'!I$15,IF($F50="AE",'Fleet Tech - Tech'!I$16,IF($F50="IX",'Fleet Tech - Tech'!I$17,IF($F50="BM",'Fleet Tech - Tech'!I$13,IF($F50="AR",'Fleet Tech - Tech'!I$12,IF($F50="SSV",'Fleet Tech - Tech'!I$14,"nil"))))))))))))))),0)</f>
        <v>0</v>
      </c>
      <c r="BC50" s="12">
        <f>IF($H50=3,IF(OR($F50="DDV",$F50="DDG",$F50="DD"),'Fleet Tech - Tech'!J$3,IF($F50="CL",'Fleet Tech - Tech'!J$4,IF($F50="CA",'Fleet Tech - Tech'!J$5,IF($F50="BC",'Fleet Tech - Tech'!J$6,IF($F50="BB",'Fleet Tech - Tech'!J$7,IF($F50="CVL",'Fleet Tech - Tech'!J$8,IF($F50="CV",'Fleet Tech - Tech'!J$9,IF($F50="SS",'Fleet Tech - Tech'!J$10,IF($F50="BBV",'Fleet Tech - Tech'!J$11,IF($F50="CB",'Fleet Tech - Tech'!J$15,IF($F50="AE",'Fleet Tech - Tech'!J$16,IF($F50="IX",'Fleet Tech - Tech'!J$17,IF($F50="BM",'Fleet Tech - Tech'!J$13,IF($F50="AR",'Fleet Tech - Tech'!J$12,IF($F50="SSV",'Fleet Tech - Tech'!J$14,"nil"))))))))))))))),0)</f>
        <v>0</v>
      </c>
      <c r="BD50" s="12">
        <f>IF($H50=3,IF(OR($F50="DDV",$F50="DDG",$F50="DD"),'Fleet Tech - Tech'!K$3,IF($F50="CL",'Fleet Tech - Tech'!K$4,IF($F50="CA",'Fleet Tech - Tech'!K$5,IF($F50="BC",'Fleet Tech - Tech'!K$6,IF($F50="BB",'Fleet Tech - Tech'!K$7,IF($F50="CVL",'Fleet Tech - Tech'!K$8,IF($F50="CV",'Fleet Tech - Tech'!K$9,IF($F50="SS",'Fleet Tech - Tech'!K$10,IF($F50="BBV",'Fleet Tech - Tech'!K$11,IF($F50="CB",'Fleet Tech - Tech'!K$15,IF($F50="AE",'Fleet Tech - Tech'!K$16,IF($F50="IX",'Fleet Tech - Tech'!K$17,IF($F50="BM",'Fleet Tech - Tech'!K$13,IF($F50="AR",'Fleet Tech - Tech'!K$12,IF($F50="SSV",'Fleet Tech - Tech'!K$14,"nil"))))))))))))))),0)</f>
        <v>0</v>
      </c>
      <c r="BE50" s="12">
        <f>IF($H50=3,IF(OR($F50="DDV",$F50="DDG",$F50="DD"),'Fleet Tech - Tech'!L$3,IF($F50="CL",'Fleet Tech - Tech'!L$4,IF($F50="CA",'Fleet Tech - Tech'!L$5,IF($F50="BC",'Fleet Tech - Tech'!L$6,IF($F50="BB",'Fleet Tech - Tech'!L$7,IF($F50="CVL",'Fleet Tech - Tech'!L$8,IF($F50="CV",'Fleet Tech - Tech'!L$9,IF($F50="SS",'Fleet Tech - Tech'!L$10,IF($F50="BBV",'Fleet Tech - Tech'!L$11,IF($F50="CB",'Fleet Tech - Tech'!L$15,IF($F50="AE",'Fleet Tech - Tech'!L$16,IF($F50="IX",'Fleet Tech - Tech'!L$17,IF($F50="BM",'Fleet Tech - Tech'!L$13,IF($F50="AR",'Fleet Tech - Tech'!L$12,IF($F50="SSV",'Fleet Tech - Tech'!L$14,"nil"))))))))))))))),0)</f>
        <v>1</v>
      </c>
      <c r="BF50" s="12">
        <f>IF($H50=3,IF(OR($F50="DDV",$F50="DDG",$F50="DD"),'Fleet Tech - Tech'!M$3,IF($F50="CL",'Fleet Tech - Tech'!M$4,IF($F50="CA",'Fleet Tech - Tech'!M$5,IF($F50="BC",'Fleet Tech - Tech'!M$6,IF($F50="BB",'Fleet Tech - Tech'!M$7,IF($F50="CVL",'Fleet Tech - Tech'!M$8,IF($F50="CV",'Fleet Tech - Tech'!M$9,IF($F50="SS",'Fleet Tech - Tech'!M$10,IF($F50="BBV",'Fleet Tech - Tech'!M$11,IF($F50="CB",'Fleet Tech - Tech'!M$15,IF($F50="AE",'Fleet Tech - Tech'!M$16,IF($F50="IX",'Fleet Tech - Tech'!M$17,IF($F50="BM",'Fleet Tech - Tech'!M$13,IF($F50="AR",'Fleet Tech - Tech'!M$12,IF($F50="SSV",'Fleet Tech - Tech'!M$14,"nil"))))))))))))))),0)</f>
        <v>0</v>
      </c>
      <c r="BG50" s="12">
        <f>IF($H50=3,IF(OR($F50="DDV",$F50="DDG",$F50="DD"),'Fleet Tech - Tech'!N$3,IF($F50="CL",'Fleet Tech - Tech'!N$4,IF($F50="CA",'Fleet Tech - Tech'!N$5,IF($F50="BC",'Fleet Tech - Tech'!N$6,IF($F50="BB",'Fleet Tech - Tech'!N$7,IF($F50="CVL",'Fleet Tech - Tech'!N$8,IF($F50="CV",'Fleet Tech - Tech'!N$9,IF($F50="SS",'Fleet Tech - Tech'!N$10,IF($F50="BBV",'Fleet Tech - Tech'!N$11,IF($F50="CB",'Fleet Tech - Tech'!N$15,IF($F50="AE",'Fleet Tech - Tech'!N$16,IF($F50="IX",'Fleet Tech - Tech'!N$17,IF($F50="BM",'Fleet Tech - Tech'!N$13,IF($F50="AR",'Fleet Tech - Tech'!N$12,IF($F50="SSV",'Fleet Tech - Tech'!N$14,"nil"))))))))))))))),0)</f>
        <v>0</v>
      </c>
      <c r="BH50" s="28"/>
      <c r="BI50" s="12">
        <v>2800</v>
      </c>
      <c r="BJ50" s="12">
        <v>187</v>
      </c>
      <c r="BK50" s="12">
        <v>135</v>
      </c>
      <c r="BL50" s="12">
        <v>0</v>
      </c>
      <c r="BM50" s="12">
        <v>19</v>
      </c>
      <c r="BN50" s="12">
        <v>0</v>
      </c>
      <c r="BO50" s="12">
        <v>0</v>
      </c>
      <c r="BP50" s="12">
        <v>0</v>
      </c>
      <c r="BQ50" s="12">
        <v>12</v>
      </c>
      <c r="BR50" s="12">
        <v>10</v>
      </c>
      <c r="BS50" s="12">
        <v>83</v>
      </c>
      <c r="BT50" s="12">
        <v>42</v>
      </c>
      <c r="BU50" s="12">
        <v>61</v>
      </c>
      <c r="BV50" s="12">
        <v>335</v>
      </c>
      <c r="BW50" s="28"/>
      <c r="BX50" s="12">
        <v>4</v>
      </c>
      <c r="BY50" s="12">
        <v>0</v>
      </c>
      <c r="BZ50" s="12">
        <v>3</v>
      </c>
      <c r="CA50" s="12">
        <v>1</v>
      </c>
      <c r="CB50" s="12">
        <v>4</v>
      </c>
      <c r="CC50" s="12">
        <v>0</v>
      </c>
      <c r="CD50" s="12">
        <v>3</v>
      </c>
      <c r="CE50" s="12">
        <v>10</v>
      </c>
      <c r="CF50" s="12">
        <v>3</v>
      </c>
      <c r="CG50" s="12">
        <v>0</v>
      </c>
      <c r="CH50" s="12">
        <v>-1</v>
      </c>
      <c r="CI50" s="12">
        <v>-1</v>
      </c>
      <c r="CJ50" s="47"/>
      <c r="CK50" s="48">
        <f>IF(BX50=5,320,IF(BX50=4,195,IF(BX50=3,132,IF(BX50=2,90,IF(BX50=1,58,IF(BX50=-1,0,35))))))</f>
        <v>195</v>
      </c>
      <c r="CL50" s="48">
        <f>IF(BX50=5,20,IF(BX50=4,15,IF(BX50=3,12,IF(BX50=2,10,IF(BX50=1,8,IF(BX50=-1,0,5))))))</f>
        <v>15</v>
      </c>
      <c r="CM50" s="48">
        <f>IF(BZ50=5,320,IF(BZ50=4,195,IF(BZ50=3,132,IF(BZ50=2,90,IF(BZ50=1,58,IF(BZ50=-1,0,35))))))</f>
        <v>132</v>
      </c>
      <c r="CN50" s="48">
        <f>IF(BZ50=5,20,IF(BZ50=4,15,IF(BZ50=3,12,IF(BZ50=2,10,IF(BZ50=1,8,IF(BZ50=-1,0,5))))))</f>
        <v>12</v>
      </c>
      <c r="CO50" s="48">
        <f>IF(CB50=5,320,IF(CB50=4,195,IF(CB50=3,132,IF(CB50=2,90,IF(CB50=1,58,IF(CB50=-1,0,35))))))</f>
        <v>195</v>
      </c>
      <c r="CP50" s="48">
        <f>IF(CB50=5,20,IF(CB50=4,15,IF(CB50=3,12,IF(CB50=2,10,IF(CB50=1,8,IF(CB50=-1,0,5))))))</f>
        <v>15</v>
      </c>
      <c r="CQ50" s="48">
        <f>IF(CD50=5,320,IF(CD50=4,195,IF(CD50=3,132,IF(CD50=2,90,IF(CD50=1,58,IF(CD50=-1,0,35))))))</f>
        <v>132</v>
      </c>
      <c r="CR50" s="48">
        <f>IF(CD50=5,20,IF(CD50=4,15,IF(CD50=3,12,IF(CD50=2,10,IF(CD50=1,8,IF(CD50=-1,0,5))))))</f>
        <v>12</v>
      </c>
      <c r="CS50" s="48">
        <f>IF(CF50=5,320,IF(CF50=4,195,IF(CF50=3,132,IF(CF50=2,90,IF(CF50=1,58,IF(CF50=-1,0,35))))))</f>
        <v>132</v>
      </c>
      <c r="CT50" s="48">
        <f>IF(CF50=5,20,IF(CF50=4,15,IF(CF50=3,12,IF(CF50=2,10,IF(CF50=1,8,IF(CF50=-1,0,5))))))</f>
        <v>12</v>
      </c>
      <c r="CU50" s="48">
        <f>IF(CH50=5,320,IF(CH50=4,195,IF(CH50=3,132,IF(CH50=2,90,IF(CH50=1,58,IF(CH50=-1,0,35))))))</f>
        <v>0</v>
      </c>
      <c r="CV50" s="48">
        <f>IF(CH50=5,20,IF(CH50=4,15,IF(CH50=3,12,IF(CH50=2,10,IF(CH50=1,8,IF(CH50=-1,0,5))))))</f>
        <v>0</v>
      </c>
      <c r="CW50" s="48">
        <f>IF(BY50&gt;10,(BY50/10)-ROUNDDOWN(BY50/10,0),0)+IF(CA50&gt;10,(CA50/10)-ROUNDDOWN(CA50/10,0),0)+IF(CC50&gt;10,(CC50/10)-ROUNDDOWN(CC50/10,0),0)+IF(CE50&gt;10,(CE50/10)-ROUNDDOWN(CE50/10,0),0)+IF(CG50&gt;10,(CG50/10)-ROUNDDOWN(CG50/10,0),0)+IF(CI50&gt;10,(CI50/10)-ROUNDDOWN(CI50/10,0),0)</f>
        <v>0</v>
      </c>
      <c r="CX50" s="48">
        <f>1+(CW50/10)</f>
        <v>1</v>
      </c>
    </row>
    <row r="51" ht="20.05" customHeight="1">
      <c r="A51" t="s" s="43">
        <v>329</v>
      </c>
      <c r="B51" s="49"/>
      <c r="C51" t="s" s="45">
        <v>73</v>
      </c>
      <c r="D51" s="13">
        <v>7</v>
      </c>
      <c r="E51" t="s" s="15">
        <v>232</v>
      </c>
      <c r="F51" t="s" s="15">
        <v>233</v>
      </c>
      <c r="G51" t="s" s="15">
        <v>282</v>
      </c>
      <c r="H51" s="12">
        <v>3</v>
      </c>
      <c r="I51" t="s" s="15">
        <v>300</v>
      </c>
      <c r="J51" s="12">
        <v>80</v>
      </c>
      <c r="K51" t="s" s="14">
        <v>236</v>
      </c>
      <c r="L51" t="s" s="15">
        <v>265</v>
      </c>
      <c r="M51" t="s" s="15">
        <v>27</v>
      </c>
      <c r="N51" s="46">
        <f>ROUND((SUM(AA51,T51:Y51,AC51:AE51,Z51*10)-AB51*15)*(IF(K51="Heavy",0.15,IF(K51="Medium",0,IF(K51="Light",-0.15,10)))+1),0)</f>
        <v>632</v>
      </c>
      <c r="O51" s="46">
        <v>1767</v>
      </c>
      <c r="P51" s="46">
        <f>ROUNDDOWN((BI51+AU51+AG51)/5,0)+(BJ51+AV51+AH51)+(BN51+AZ51+AL51)+(BO51+BA51+AM51)+(BK51+AW51+AI51)+(BS51+BE51+AQ51)+(BL51+AX51+AJ51)+(BQ51+BC51+AO51)+(2*((BT51+BF51+AR51)+(BU51+BG51+AS51)))+(CK51+CM51+CO51+CQ51+CS51+CU51)+(CL51*BY51)+(CN51*CA51)+(CP51+CC51)+(CR51+CE51)+(CT51+CG51)+(CV51+CI51)+BV51</f>
        <v>2044</v>
      </c>
      <c r="Q51" s="46">
        <f>ROUNDDOWN(((S51/5)+T51+X51+Y51+U51+AC51+V51+AA51+(2*(AD51+AE51))+CK51+CM51+CO51+CQ51+CS51+CU51+(CL51*BX51)+(CN51*BZ51)+(CP51*CB51)+(CR51*CD51)+(CT51*CF51)+(CV51*CH51))*CX51,0)</f>
        <v>1730</v>
      </c>
      <c r="R51" s="46">
        <f>ROUNDDOWN(AVERAGE(P51:Q51),0)</f>
        <v>1887</v>
      </c>
      <c r="S51" s="12">
        <f>AG51+AU51+BI51</f>
        <v>2709</v>
      </c>
      <c r="T51" s="12">
        <f>AH51+AV51+BJ51</f>
        <v>118</v>
      </c>
      <c r="U51" s="12">
        <f>AI51+AW51+BK51</f>
        <v>276</v>
      </c>
      <c r="V51" s="12">
        <f>AJ51+AX51+BL51</f>
        <v>84</v>
      </c>
      <c r="W51" s="12">
        <f>AK51+AY51+BM51</f>
        <v>55</v>
      </c>
      <c r="X51" s="12">
        <f>AL51+AZ51+BN51</f>
        <v>5</v>
      </c>
      <c r="Y51" s="12">
        <f>AM51+BA51+BO51</f>
        <v>0</v>
      </c>
      <c r="Z51" s="12">
        <f>AN51+BB51+BP51</f>
        <v>0</v>
      </c>
      <c r="AA51" s="12">
        <f>AO51+BC51+BQ51</f>
        <v>32</v>
      </c>
      <c r="AB51" s="12">
        <f>AP51+BD51+BR51</f>
        <v>9</v>
      </c>
      <c r="AC51" s="12">
        <f>AQ51+BE51+BS51</f>
        <v>112</v>
      </c>
      <c r="AD51" s="12">
        <f>AR51+BF51+BT51</f>
        <v>74</v>
      </c>
      <c r="AE51" s="12">
        <f>AS51+BG51+BU51</f>
        <v>123</v>
      </c>
      <c r="AF51" s="28"/>
      <c r="AG51" s="28"/>
      <c r="AH51" s="28"/>
      <c r="AI51" s="12">
        <v>25</v>
      </c>
      <c r="AJ51" s="28"/>
      <c r="AK51" s="28"/>
      <c r="AL51" s="28"/>
      <c r="AM51" s="28"/>
      <c r="AN51" s="28"/>
      <c r="AO51" s="28"/>
      <c r="AP51" s="28"/>
      <c r="AQ51" s="28"/>
      <c r="AR51" s="28"/>
      <c r="AS51" s="28"/>
      <c r="AT51" s="28"/>
      <c r="AU51" s="12">
        <f>IF($H51=3,IF(OR($F51="DDV",$F51="DDG",$F51="DD"),'Fleet Tech - Tech'!B$3,IF($F51="CL",'Fleet Tech - Tech'!B$4,IF($F51="CA",'Fleet Tech - Tech'!B$5,IF($F51="BC",'Fleet Tech - Tech'!B$6,IF($F51="BB",'Fleet Tech - Tech'!B$7,IF($F51="CVL",'Fleet Tech - Tech'!B$8,IF($F51="CV",'Fleet Tech - Tech'!B$9,IF($F51="SS",'Fleet Tech - Tech'!B$10,IF($F51="BBV",'Fleet Tech - Tech'!B$11,IF($F51="CB",'Fleet Tech - Tech'!B$15,IF($F51="AE",'Fleet Tech - Tech'!B$16,IF($F51="IX",'Fleet Tech - Tech'!B$17,IF($F51="BM",'Fleet Tech - Tech'!B$13,IF($F51="AR",'Fleet Tech - Tech'!B$12,IF($F51="SSV",'Fleet Tech - Tech'!B$14,"nil"))))))))))))))),0)</f>
        <v>43</v>
      </c>
      <c r="AV51" s="12">
        <f>IF($H51=3,IF(OR($F51="DDV",$F51="DDG",$F51="DD"),'Fleet Tech - Tech'!C$3,IF($F51="CL",'Fleet Tech - Tech'!C$4,IF($F51="CA",'Fleet Tech - Tech'!C$5,IF($F51="BC",'Fleet Tech - Tech'!C$6,IF($F51="BB",'Fleet Tech - Tech'!C$7,IF($F51="CVL",'Fleet Tech - Tech'!C$8,IF($F51="CV",'Fleet Tech - Tech'!C$9,IF($F51="SS",'Fleet Tech - Tech'!C$10,IF($F51="BBV",'Fleet Tech - Tech'!C$11,IF($F51="CB",'Fleet Tech - Tech'!C$15,IF($F51="AE",'Fleet Tech - Tech'!C$16,IF($F51="IX",'Fleet Tech - Tech'!C$17,IF($F51="BM",'Fleet Tech - Tech'!C$13,IF($F51="AR",'Fleet Tech - Tech'!C$12,IF($F51="SSV",'Fleet Tech - Tech'!C$14,"nil"))))))))))))))),0)</f>
        <v>2</v>
      </c>
      <c r="AW51" s="12">
        <f>IF($H51=3,IF(OR($F51="DDV",$F51="DDG",$F51="DD"),'Fleet Tech - Tech'!D$3,IF($F51="CL",'Fleet Tech - Tech'!D$4,IF($F51="CA",'Fleet Tech - Tech'!D$5,IF($F51="BC",'Fleet Tech - Tech'!D$6,IF($F51="BB",'Fleet Tech - Tech'!D$7,IF($F51="CVL",'Fleet Tech - Tech'!D$8,IF($F51="CV",'Fleet Tech - Tech'!D$9,IF($F51="SS",'Fleet Tech - Tech'!D$10,IF($F51="BBV",'Fleet Tech - Tech'!D$11,IF($F51="CB",'Fleet Tech - Tech'!D$15,IF($F51="AE",'Fleet Tech - Tech'!D$16,IF($F51="IX",'Fleet Tech - Tech'!D$17,IF($F51="BM",'Fleet Tech - Tech'!D$13,IF($F51="AR",'Fleet Tech - Tech'!D$12,IF($F51="SSV",'Fleet Tech - Tech'!D$14,"nil"))))))))))))))),0)</f>
        <v>11</v>
      </c>
      <c r="AX51" s="12">
        <f>IF($H51=3,IF(OR($F51="DDV",$F51="DDG",$F51="DD"),'Fleet Tech - Tech'!E$3,IF($F51="CL",'Fleet Tech - Tech'!E$4,IF($F51="CA",'Fleet Tech - Tech'!E$5,IF($F51="BC",'Fleet Tech - Tech'!E$6,IF($F51="BB",'Fleet Tech - Tech'!E$7,IF($F51="CVL",'Fleet Tech - Tech'!E$8,IF($F51="CV",'Fleet Tech - Tech'!E$9,IF($F51="SS",'Fleet Tech - Tech'!E$10,IF($F51="BBV",'Fleet Tech - Tech'!E$11,IF($F51="CB",'Fleet Tech - Tech'!E$15,IF($F51="AE",'Fleet Tech - Tech'!E$16,IF($F51="IX",'Fleet Tech - Tech'!E$17,IF($F51="BM",'Fleet Tech - Tech'!E$13,IF($F51="AR",'Fleet Tech - Tech'!E$12,IF($F51="SSV",'Fleet Tech - Tech'!E$14,"nil"))))))))))))))),0)</f>
        <v>3</v>
      </c>
      <c r="AY51" s="12">
        <f>IF($H51=3,IF(OR($F51="DDV",$F51="DDG",$F51="DD"),'Fleet Tech - Tech'!F$3,IF($F51="CL",'Fleet Tech - Tech'!F$4,IF($F51="CA",'Fleet Tech - Tech'!F$5,IF($F51="BC",'Fleet Tech - Tech'!F$6,IF($F51="BB",'Fleet Tech - Tech'!F$7,IF($F51="CVL",'Fleet Tech - Tech'!F$8,IF($F51="CV",'Fleet Tech - Tech'!F$9,IF($F51="SS",'Fleet Tech - Tech'!F$10,IF($F51="BBV",'Fleet Tech - Tech'!F$11,IF($F51="CB",'Fleet Tech - Tech'!F$15,IF($F51="AE",'Fleet Tech - Tech'!F$16,IF($F51="IX",'Fleet Tech - Tech'!F$17,IF($F51="BM",'Fleet Tech - Tech'!F$13,IF($F51="AR",'Fleet Tech - Tech'!F$12,IF($F51="SSV",'Fleet Tech - Tech'!F$14,"nil"))))))))))))))),0)</f>
        <v>0</v>
      </c>
      <c r="AZ51" s="12">
        <f>IF($H51=3,IF(OR($F51="DDV",$F51="DDG",$F51="DD"),'Fleet Tech - Tech'!G$3,IF($F51="CL",'Fleet Tech - Tech'!G$4,IF($F51="CA",'Fleet Tech - Tech'!G$5,IF($F51="BC",'Fleet Tech - Tech'!G$6,IF($F51="BB",'Fleet Tech - Tech'!G$7,IF($F51="CVL",'Fleet Tech - Tech'!G$8,IF($F51="CV",'Fleet Tech - Tech'!G$9,IF($F51="SS",'Fleet Tech - Tech'!G$10,IF($F51="BBV",'Fleet Tech - Tech'!G$11,IF($F51="CB",'Fleet Tech - Tech'!G$15,IF($F51="AE",'Fleet Tech - Tech'!G$16,IF($F51="IX",'Fleet Tech - Tech'!G$17,IF($F51="BM",'Fleet Tech - Tech'!G$13,IF($F51="AR",'Fleet Tech - Tech'!G$12,IF($F51="SSV",'Fleet Tech - Tech'!G$14,"nil"))))))))))))))),0)</f>
        <v>5</v>
      </c>
      <c r="BA51" s="12">
        <f>IF($H51=3,IF(OR($F51="DDV",$F51="DDG",$F51="DD"),'Fleet Tech - Tech'!H$3,IF($F51="CL",'Fleet Tech - Tech'!H$4,IF($F51="CA",'Fleet Tech - Tech'!H$5,IF($F51="BC",'Fleet Tech - Tech'!H$6,IF($F51="BB",'Fleet Tech - Tech'!H$7,IF($F51="CVL",'Fleet Tech - Tech'!H$8,IF($F51="CV",'Fleet Tech - Tech'!H$9,IF($F51="SS",'Fleet Tech - Tech'!H$10,IF($F51="BBV",'Fleet Tech - Tech'!H$11,IF($F51="CB",'Fleet Tech - Tech'!H$15,IF($F51="AE",'Fleet Tech - Tech'!H$16,IF($F51="IX",'Fleet Tech - Tech'!H$17,IF($F51="BM",'Fleet Tech - Tech'!H$13,IF($F51="AR",'Fleet Tech - Tech'!H$12,IF($F51="SSV",'Fleet Tech - Tech'!H$14,"nil"))))))))))))))),0)</f>
        <v>0</v>
      </c>
      <c r="BB51" s="12">
        <f>IF($H51=3,IF(OR($F51="DDV",$F51="DDG",$F51="DD"),'Fleet Tech - Tech'!I$3,IF($F51="CL",'Fleet Tech - Tech'!I$4,IF($F51="CA",'Fleet Tech - Tech'!I$5,IF($F51="BC",'Fleet Tech - Tech'!I$6,IF($F51="BB",'Fleet Tech - Tech'!I$7,IF($F51="CVL",'Fleet Tech - Tech'!I$8,IF($F51="CV",'Fleet Tech - Tech'!I$9,IF($F51="SS",'Fleet Tech - Tech'!I$10,IF($F51="BBV",'Fleet Tech - Tech'!I$11,IF($F51="CB",'Fleet Tech - Tech'!I$15,IF($F51="AE",'Fleet Tech - Tech'!I$16,IF($F51="IX",'Fleet Tech - Tech'!I$17,IF($F51="BM",'Fleet Tech - Tech'!I$13,IF($F51="AR",'Fleet Tech - Tech'!I$12,IF($F51="SSV",'Fleet Tech - Tech'!I$14,"nil"))))))))))))))),0)</f>
        <v>0</v>
      </c>
      <c r="BC51" s="12">
        <f>IF($H51=3,IF(OR($F51="DDV",$F51="DDG",$F51="DD"),'Fleet Tech - Tech'!J$3,IF($F51="CL",'Fleet Tech - Tech'!J$4,IF($F51="CA",'Fleet Tech - Tech'!J$5,IF($F51="BC",'Fleet Tech - Tech'!J$6,IF($F51="BB",'Fleet Tech - Tech'!J$7,IF($F51="CVL",'Fleet Tech - Tech'!J$8,IF($F51="CV",'Fleet Tech - Tech'!J$9,IF($F51="SS",'Fleet Tech - Tech'!J$10,IF($F51="BBV",'Fleet Tech - Tech'!J$11,IF($F51="CB",'Fleet Tech - Tech'!J$15,IF($F51="AE",'Fleet Tech - Tech'!J$16,IF($F51="IX",'Fleet Tech - Tech'!J$17,IF($F51="BM",'Fleet Tech - Tech'!J$13,IF($F51="AR",'Fleet Tech - Tech'!J$12,IF($F51="SSV",'Fleet Tech - Tech'!J$14,"nil"))))))))))))))),0)</f>
        <v>0</v>
      </c>
      <c r="BD51" s="12">
        <f>IF($H51=3,IF(OR($F51="DDV",$F51="DDG",$F51="DD"),'Fleet Tech - Tech'!K$3,IF($F51="CL",'Fleet Tech - Tech'!K$4,IF($F51="CA",'Fleet Tech - Tech'!K$5,IF($F51="BC",'Fleet Tech - Tech'!K$6,IF($F51="BB",'Fleet Tech - Tech'!K$7,IF($F51="CVL",'Fleet Tech - Tech'!K$8,IF($F51="CV",'Fleet Tech - Tech'!K$9,IF($F51="SS",'Fleet Tech - Tech'!K$10,IF($F51="BBV",'Fleet Tech - Tech'!K$11,IF($F51="CB",'Fleet Tech - Tech'!K$15,IF($F51="AE",'Fleet Tech - Tech'!K$16,IF($F51="IX",'Fleet Tech - Tech'!K$17,IF($F51="BM",'Fleet Tech - Tech'!K$13,IF($F51="AR",'Fleet Tech - Tech'!K$12,IF($F51="SSV",'Fleet Tech - Tech'!K$14,"nil"))))))))))))))),0)</f>
        <v>0</v>
      </c>
      <c r="BE51" s="12">
        <f>IF($H51=3,IF(OR($F51="DDV",$F51="DDG",$F51="DD"),'Fleet Tech - Tech'!L$3,IF($F51="CL",'Fleet Tech - Tech'!L$4,IF($F51="CA",'Fleet Tech - Tech'!L$5,IF($F51="BC",'Fleet Tech - Tech'!L$6,IF($F51="BB",'Fleet Tech - Tech'!L$7,IF($F51="CVL",'Fleet Tech - Tech'!L$8,IF($F51="CV",'Fleet Tech - Tech'!L$9,IF($F51="SS",'Fleet Tech - Tech'!L$10,IF($F51="BBV",'Fleet Tech - Tech'!L$11,IF($F51="CB",'Fleet Tech - Tech'!L$15,IF($F51="AE",'Fleet Tech - Tech'!L$16,IF($F51="IX",'Fleet Tech - Tech'!L$17,IF($F51="BM",'Fleet Tech - Tech'!L$13,IF($F51="AR",'Fleet Tech - Tech'!L$12,IF($F51="SSV",'Fleet Tech - Tech'!L$14,"nil"))))))))))))))),0)</f>
        <v>5</v>
      </c>
      <c r="BF51" s="12">
        <f>IF($H51=3,IF(OR($F51="DDV",$F51="DDG",$F51="DD"),'Fleet Tech - Tech'!M$3,IF($F51="CL",'Fleet Tech - Tech'!M$4,IF($F51="CA",'Fleet Tech - Tech'!M$5,IF($F51="BC",'Fleet Tech - Tech'!M$6,IF($F51="BB",'Fleet Tech - Tech'!M$7,IF($F51="CVL",'Fleet Tech - Tech'!M$8,IF($F51="CV",'Fleet Tech - Tech'!M$9,IF($F51="SS",'Fleet Tech - Tech'!M$10,IF($F51="BBV",'Fleet Tech - Tech'!M$11,IF($F51="CB",'Fleet Tech - Tech'!M$15,IF($F51="AE",'Fleet Tech - Tech'!M$16,IF($F51="IX",'Fleet Tech - Tech'!M$17,IF($F51="BM",'Fleet Tech - Tech'!M$13,IF($F51="AR",'Fleet Tech - Tech'!M$12,IF($F51="SSV",'Fleet Tech - Tech'!M$14,"nil"))))))))))))))),0)</f>
        <v>0</v>
      </c>
      <c r="BG51" s="12">
        <f>IF($H51=3,IF(OR($F51="DDV",$F51="DDG",$F51="DD"),'Fleet Tech - Tech'!N$3,IF($F51="CL",'Fleet Tech - Tech'!N$4,IF($F51="CA",'Fleet Tech - Tech'!N$5,IF($F51="BC",'Fleet Tech - Tech'!N$6,IF($F51="BB",'Fleet Tech - Tech'!N$7,IF($F51="CVL",'Fleet Tech - Tech'!N$8,IF($F51="CV",'Fleet Tech - Tech'!N$9,IF($F51="SS",'Fleet Tech - Tech'!N$10,IF($F51="BBV",'Fleet Tech - Tech'!N$11,IF($F51="CB",'Fleet Tech - Tech'!N$15,IF($F51="AE",'Fleet Tech - Tech'!N$16,IF($F51="IX",'Fleet Tech - Tech'!N$17,IF($F51="BM",'Fleet Tech - Tech'!N$13,IF($F51="AR",'Fleet Tech - Tech'!N$12,IF($F51="SSV",'Fleet Tech - Tech'!N$14,"nil"))))))))))))))),0)</f>
        <v>6</v>
      </c>
      <c r="BH51" s="28"/>
      <c r="BI51" s="12">
        <v>2666</v>
      </c>
      <c r="BJ51" s="12">
        <v>116</v>
      </c>
      <c r="BK51" s="12">
        <v>240</v>
      </c>
      <c r="BL51" s="12">
        <v>81</v>
      </c>
      <c r="BM51" s="12">
        <v>55</v>
      </c>
      <c r="BN51" s="12">
        <v>0</v>
      </c>
      <c r="BO51" s="12">
        <v>0</v>
      </c>
      <c r="BP51" s="28"/>
      <c r="BQ51" s="12">
        <v>32</v>
      </c>
      <c r="BR51" s="12">
        <v>9</v>
      </c>
      <c r="BS51" s="12">
        <v>107</v>
      </c>
      <c r="BT51" s="12">
        <v>74</v>
      </c>
      <c r="BU51" s="12">
        <v>117</v>
      </c>
      <c r="BV51" s="12">
        <v>335</v>
      </c>
      <c r="BW51" s="28"/>
      <c r="BX51" s="12">
        <v>-1</v>
      </c>
      <c r="BY51" s="12">
        <v>-1</v>
      </c>
      <c r="BZ51" s="12">
        <v>-1</v>
      </c>
      <c r="CA51" s="12">
        <v>-1</v>
      </c>
      <c r="CB51" s="12">
        <v>3</v>
      </c>
      <c r="CC51" s="12">
        <v>6</v>
      </c>
      <c r="CD51" s="12">
        <v>-1</v>
      </c>
      <c r="CE51" s="12">
        <v>-1</v>
      </c>
      <c r="CF51" s="12">
        <v>-1</v>
      </c>
      <c r="CG51" s="12">
        <v>-1</v>
      </c>
      <c r="CH51" s="12">
        <v>-1</v>
      </c>
      <c r="CI51" s="12">
        <v>-1</v>
      </c>
      <c r="CJ51" s="47"/>
      <c r="CK51" s="48">
        <f>IF(BX51=5,320,IF(BX51=4,195,IF(BX51=3,132,IF(BX51=2,90,IF(BX51=1,58,IF(BX51=-1,0,35))))))</f>
        <v>0</v>
      </c>
      <c r="CL51" s="48">
        <f>IF(BX51=5,20,IF(BX51=4,15,IF(BX51=3,12,IF(BX51=2,10,IF(BX51=1,8,IF(BX51=-1,0,5))))))</f>
        <v>0</v>
      </c>
      <c r="CM51" s="48">
        <f>IF(BZ51=5,320,IF(BZ51=4,195,IF(BZ51=3,132,IF(BZ51=2,90,IF(BZ51=1,58,IF(BZ51=-1,0,35))))))</f>
        <v>0</v>
      </c>
      <c r="CN51" s="48">
        <f>IF(BZ51=5,20,IF(BZ51=4,15,IF(BZ51=3,12,IF(BZ51=2,10,IF(BZ51=1,8,IF(BZ51=-1,0,5))))))</f>
        <v>0</v>
      </c>
      <c r="CO51" s="48">
        <f>IF(CB51=5,320,IF(CB51=4,195,IF(CB51=3,132,IF(CB51=2,90,IF(CB51=1,58,IF(CB51=-1,0,35))))))</f>
        <v>132</v>
      </c>
      <c r="CP51" s="48">
        <f>IF(CB51=5,20,IF(CB51=4,15,IF(CB51=3,12,IF(CB51=2,10,IF(CB51=1,8,IF(CB51=-1,0,5))))))</f>
        <v>12</v>
      </c>
      <c r="CQ51" s="48">
        <f>IF(CD51=5,320,IF(CD51=4,195,IF(CD51=3,132,IF(CD51=2,90,IF(CD51=1,58,IF(CD51=-1,0,35))))))</f>
        <v>0</v>
      </c>
      <c r="CR51" s="48">
        <f>IF(CD51=5,20,IF(CD51=4,15,IF(CD51=3,12,IF(CD51=2,10,IF(CD51=1,8,IF(CD51=-1,0,5))))))</f>
        <v>0</v>
      </c>
      <c r="CS51" s="48">
        <f>IF(CF51=5,320,IF(CF51=4,195,IF(CF51=3,132,IF(CF51=2,90,IF(CF51=1,58,IF(CF51=-1,0,35))))))</f>
        <v>0</v>
      </c>
      <c r="CT51" s="48">
        <f>IF(CF51=5,20,IF(CF51=4,15,IF(CF51=3,12,IF(CF51=2,10,IF(CF51=1,8,IF(CF51=-1,0,5))))))</f>
        <v>0</v>
      </c>
      <c r="CU51" s="48">
        <f>IF(CH51=5,320,IF(CH51=4,195,IF(CH51=3,132,IF(CH51=2,90,IF(CH51=1,58,IF(CH51=-1,0,35))))))</f>
        <v>0</v>
      </c>
      <c r="CV51" s="48">
        <f>IF(CH51=5,20,IF(CH51=4,15,IF(CH51=3,12,IF(CH51=2,10,IF(CH51=1,8,IF(CH51=-1,0,5))))))</f>
        <v>0</v>
      </c>
      <c r="CW51" s="48">
        <f>IF(BY51&gt;10,(BY51/10)-ROUNDDOWN(BY51/10,0),0)+IF(CA51&gt;10,(CA51/10)-ROUNDDOWN(CA51/10,0),0)+IF(CC51&gt;10,(CC51/10)-ROUNDDOWN(CC51/10,0),0)+IF(CE51&gt;10,(CE51/10)-ROUNDDOWN(CE51/10,0),0)+IF(CG51&gt;10,(CG51/10)-ROUNDDOWN(CG51/10,0),0)+IF(CI51&gt;10,(CI51/10)-ROUNDDOWN(CI51/10,0),0)</f>
        <v>0</v>
      </c>
      <c r="CX51" s="48">
        <f>1+(CW51/10)</f>
        <v>1</v>
      </c>
    </row>
    <row r="52" ht="20.05" customHeight="1">
      <c r="A52" t="s" s="43">
        <v>330</v>
      </c>
      <c r="B52" s="49"/>
      <c r="C52" t="s" s="45">
        <v>73</v>
      </c>
      <c r="D52" s="13">
        <v>7</v>
      </c>
      <c r="E52" t="s" s="15">
        <v>240</v>
      </c>
      <c r="F52" t="s" s="15">
        <v>241</v>
      </c>
      <c r="G52" t="s" s="15">
        <v>262</v>
      </c>
      <c r="H52" s="12">
        <v>3</v>
      </c>
      <c r="I52" t="s" s="15">
        <v>277</v>
      </c>
      <c r="J52" s="12">
        <v>80</v>
      </c>
      <c r="K52" t="s" s="14">
        <v>242</v>
      </c>
      <c r="L52" t="s" s="15">
        <v>254</v>
      </c>
      <c r="M52" t="s" s="15">
        <v>290</v>
      </c>
      <c r="N52" s="46">
        <f>ROUND((SUM(AA52,T52:Y52,AC52:AE52,Z52*10)-AB52*15)*(IF(K52="Heavy",0.15,IF(K52="Medium",0,IF(K52="Light",-0.15,10)))+1),0)</f>
        <v>626</v>
      </c>
      <c r="O52" s="46">
        <v>1677</v>
      </c>
      <c r="P52" s="46">
        <f>ROUNDDOWN((BI52+AU52+AG52)/5,0)+(BJ52+AV52+AH52)+(BN52+AZ52+AL52)+(BO52+BA52+AM52)+(BK52+AW52+AI52)+(BS52+BE52+AQ52)+(BL52+AX52+AJ52)+(BQ52+BC52+AO52)+(2*((BT52+BF52+AR52)+(BU52+BG52+AS52)))+(CK52+CM52+CO52+CQ52+CS52+CU52)+(CL52*BY52)+(CN52*CA52)+(CP52+CC52)+(CR52+CE52)+(CT52+CG52)+(CV52+CI52)+BV52</f>
        <v>2012</v>
      </c>
      <c r="Q52" s="46">
        <f>ROUNDDOWN(((S52/5)+T52+X52+Y52+U52+AC52+V52+AA52+(2*(AD52+AE52))+CK52+CM52+CO52+CQ52+CS52+CU52+(CL52*BX52)+(CN52*BZ52)+(CP52*CB52)+(CR52*CD52)+(CT52*CF52)+(CV52*CH52))*CX52,0)</f>
        <v>1681</v>
      </c>
      <c r="R52" s="46">
        <f>ROUNDDOWN(AVERAGE(P52:Q52),0)</f>
        <v>1846</v>
      </c>
      <c r="S52" s="12">
        <f>AG52+AU52+BI52</f>
        <v>4399</v>
      </c>
      <c r="T52" s="12">
        <f>AH52+AV52+BJ52</f>
        <v>0</v>
      </c>
      <c r="U52" s="12">
        <f>AI52+AW52+BK52</f>
        <v>232</v>
      </c>
      <c r="V52" s="12">
        <f>AJ52+AX52+BL52</f>
        <v>0</v>
      </c>
      <c r="W52" s="12">
        <f>AK52+AY52+BM52</f>
        <v>93</v>
      </c>
      <c r="X52" s="12">
        <f>AL52+AZ52+BN52</f>
        <v>0</v>
      </c>
      <c r="Y52" s="12">
        <f>AM52+BA52+BO52</f>
        <v>266</v>
      </c>
      <c r="Z52" s="12">
        <f>AN52+BB52+BP52</f>
        <v>0</v>
      </c>
      <c r="AA52" s="12">
        <f>AO52+BC52+BQ52</f>
        <v>28</v>
      </c>
      <c r="AB52" s="12">
        <f>AP52+BD52+BR52</f>
        <v>11</v>
      </c>
      <c r="AC52" s="12">
        <f>AQ52+BE52+BS52</f>
        <v>68</v>
      </c>
      <c r="AD52" s="12">
        <f>AR52+BF52+BT52</f>
        <v>35</v>
      </c>
      <c r="AE52" s="12">
        <f>AS52+BG52+BU52</f>
        <v>69</v>
      </c>
      <c r="AF52" s="28"/>
      <c r="AG52" s="12">
        <v>0</v>
      </c>
      <c r="AH52" s="12">
        <v>0</v>
      </c>
      <c r="AI52" s="12">
        <v>0</v>
      </c>
      <c r="AJ52" s="12">
        <v>0</v>
      </c>
      <c r="AK52" s="12">
        <v>0</v>
      </c>
      <c r="AL52" s="12">
        <v>0</v>
      </c>
      <c r="AM52" s="12">
        <v>0</v>
      </c>
      <c r="AN52" s="12">
        <v>0</v>
      </c>
      <c r="AO52" s="12">
        <v>0</v>
      </c>
      <c r="AP52" s="12">
        <v>0</v>
      </c>
      <c r="AQ52" s="12">
        <v>0</v>
      </c>
      <c r="AR52" s="12">
        <v>0</v>
      </c>
      <c r="AS52" s="12">
        <v>0</v>
      </c>
      <c r="AT52" s="28"/>
      <c r="AU52" s="12">
        <f>IF($H52=3,IF(OR($F52="DDV",$F52="DDG",$F52="DD"),'Fleet Tech - Tech'!B$3,IF($F52="CL",'Fleet Tech - Tech'!B$4,IF($F52="CA",'Fleet Tech - Tech'!B$5,IF($F52="BC",'Fleet Tech - Tech'!B$6,IF($F52="BB",'Fleet Tech - Tech'!B$7,IF($F52="CVL",'Fleet Tech - Tech'!B$8,IF($F52="CV",'Fleet Tech - Tech'!B$9,IF($F52="SS",'Fleet Tech - Tech'!B$10,IF($F52="BBV",'Fleet Tech - Tech'!B$11,IF($F52="CB",'Fleet Tech - Tech'!B$15,IF($F52="AE",'Fleet Tech - Tech'!B$16,IF($F52="IX",'Fleet Tech - Tech'!B$17,IF($F52="BM",'Fleet Tech - Tech'!B$13,IF($F52="AR",'Fleet Tech - Tech'!B$12,IF($F52="SSV",'Fleet Tech - Tech'!B$14,"nil"))))))))))))))),0)</f>
        <v>45</v>
      </c>
      <c r="AV52" s="12">
        <f>IF($H52=3,IF(OR($F52="DDV",$F52="DDG",$F52="DD"),'Fleet Tech - Tech'!C$3,IF($F52="CL",'Fleet Tech - Tech'!C$4,IF($F52="CA",'Fleet Tech - Tech'!C$5,IF($F52="BC",'Fleet Tech - Tech'!C$6,IF($F52="BB",'Fleet Tech - Tech'!C$7,IF($F52="CVL",'Fleet Tech - Tech'!C$8,IF($F52="CV",'Fleet Tech - Tech'!C$9,IF($F52="SS",'Fleet Tech - Tech'!C$10,IF($F52="BBV",'Fleet Tech - Tech'!C$11,IF($F52="CB",'Fleet Tech - Tech'!C$15,IF($F52="AE",'Fleet Tech - Tech'!C$16,IF($F52="IX",'Fleet Tech - Tech'!C$17,IF($F52="BM",'Fleet Tech - Tech'!C$13,IF($F52="AR",'Fleet Tech - Tech'!C$12,IF($F52="SSV",'Fleet Tech - Tech'!C$14,"nil"))))))))))))))),0)</f>
        <v>0</v>
      </c>
      <c r="AW52" s="12">
        <f>IF($H52=3,IF(OR($F52="DDV",$F52="DDG",$F52="DD"),'Fleet Tech - Tech'!D$3,IF($F52="CL",'Fleet Tech - Tech'!D$4,IF($F52="CA",'Fleet Tech - Tech'!D$5,IF($F52="BC",'Fleet Tech - Tech'!D$6,IF($F52="BB",'Fleet Tech - Tech'!D$7,IF($F52="CVL",'Fleet Tech - Tech'!D$8,IF($F52="CV",'Fleet Tech - Tech'!D$9,IF($F52="SS",'Fleet Tech - Tech'!D$10,IF($F52="BBV",'Fleet Tech - Tech'!D$11,IF($F52="CB",'Fleet Tech - Tech'!D$15,IF($F52="AE",'Fleet Tech - Tech'!D$16,IF($F52="IX",'Fleet Tech - Tech'!D$17,IF($F52="BM",'Fleet Tech - Tech'!D$13,IF($F52="AR",'Fleet Tech - Tech'!D$12,IF($F52="SSV",'Fleet Tech - Tech'!D$14,"nil"))))))))))))))),0)</f>
        <v>0</v>
      </c>
      <c r="AX52" s="12">
        <f>IF($H52=3,IF(OR($F52="DDV",$F52="DDG",$F52="DD"),'Fleet Tech - Tech'!E$3,IF($F52="CL",'Fleet Tech - Tech'!E$4,IF($F52="CA",'Fleet Tech - Tech'!E$5,IF($F52="BC",'Fleet Tech - Tech'!E$6,IF($F52="BB",'Fleet Tech - Tech'!E$7,IF($F52="CVL",'Fleet Tech - Tech'!E$8,IF($F52="CV",'Fleet Tech - Tech'!E$9,IF($F52="SS",'Fleet Tech - Tech'!E$10,IF($F52="BBV",'Fleet Tech - Tech'!E$11,IF($F52="CB",'Fleet Tech - Tech'!E$15,IF($F52="AE",'Fleet Tech - Tech'!E$16,IF($F52="IX",'Fleet Tech - Tech'!E$17,IF($F52="BM",'Fleet Tech - Tech'!E$13,IF($F52="AR",'Fleet Tech - Tech'!E$12,IF($F52="SSV",'Fleet Tech - Tech'!E$14,"nil"))))))))))))))),0)</f>
        <v>0</v>
      </c>
      <c r="AY52" s="12">
        <f>IF($H52=3,IF(OR($F52="DDV",$F52="DDG",$F52="DD"),'Fleet Tech - Tech'!F$3,IF($F52="CL",'Fleet Tech - Tech'!F$4,IF($F52="CA",'Fleet Tech - Tech'!F$5,IF($F52="BC",'Fleet Tech - Tech'!F$6,IF($F52="BB",'Fleet Tech - Tech'!F$7,IF($F52="CVL",'Fleet Tech - Tech'!F$8,IF($F52="CV",'Fleet Tech - Tech'!F$9,IF($F52="SS",'Fleet Tech - Tech'!F$10,IF($F52="BBV",'Fleet Tech - Tech'!F$11,IF($F52="CB",'Fleet Tech - Tech'!F$15,IF($F52="AE",'Fleet Tech - Tech'!F$16,IF($F52="IX",'Fleet Tech - Tech'!F$17,IF($F52="BM",'Fleet Tech - Tech'!F$13,IF($F52="AR",'Fleet Tech - Tech'!F$12,IF($F52="SSV",'Fleet Tech - Tech'!F$14,"nil"))))))))))))))),0)</f>
        <v>0</v>
      </c>
      <c r="AZ52" s="12">
        <f>IF($H52=3,IF(OR($F52="DDV",$F52="DDG",$F52="DD"),'Fleet Tech - Tech'!G$3,IF($F52="CL",'Fleet Tech - Tech'!G$4,IF($F52="CA",'Fleet Tech - Tech'!G$5,IF($F52="BC",'Fleet Tech - Tech'!G$6,IF($F52="BB",'Fleet Tech - Tech'!G$7,IF($F52="CVL",'Fleet Tech - Tech'!G$8,IF($F52="CV",'Fleet Tech - Tech'!G$9,IF($F52="SS",'Fleet Tech - Tech'!G$10,IF($F52="BBV",'Fleet Tech - Tech'!G$11,IF($F52="CB",'Fleet Tech - Tech'!G$15,IF($F52="AE",'Fleet Tech - Tech'!G$16,IF($F52="IX",'Fleet Tech - Tech'!G$17,IF($F52="BM",'Fleet Tech - Tech'!G$13,IF($F52="AR",'Fleet Tech - Tech'!G$12,IF($F52="SSV",'Fleet Tech - Tech'!G$14,"nil"))))))))))))))),0)</f>
        <v>0</v>
      </c>
      <c r="BA52" s="12">
        <f>IF($H52=3,IF(OR($F52="DDV",$F52="DDG",$F52="DD"),'Fleet Tech - Tech'!H$3,IF($F52="CL",'Fleet Tech - Tech'!H$4,IF($F52="CA",'Fleet Tech - Tech'!H$5,IF($F52="BC",'Fleet Tech - Tech'!H$6,IF($F52="BB",'Fleet Tech - Tech'!H$7,IF($F52="CVL",'Fleet Tech - Tech'!H$8,IF($F52="CV",'Fleet Tech - Tech'!H$9,IF($F52="SS",'Fleet Tech - Tech'!H$10,IF($F52="BBV",'Fleet Tech - Tech'!H$11,IF($F52="CB",'Fleet Tech - Tech'!H$15,IF($F52="AE",'Fleet Tech - Tech'!H$16,IF($F52="IX",'Fleet Tech - Tech'!H$17,IF($F52="BM",'Fleet Tech - Tech'!H$13,IF($F52="AR",'Fleet Tech - Tech'!H$12,IF($F52="SSV",'Fleet Tech - Tech'!H$14,"nil"))))))))))))))),0)</f>
        <v>10</v>
      </c>
      <c r="BB52" s="12">
        <f>IF($H52=3,IF(OR($F52="DDV",$F52="DDG",$F52="DD"),'Fleet Tech - Tech'!I$3,IF($F52="CL",'Fleet Tech - Tech'!I$4,IF($F52="CA",'Fleet Tech - Tech'!I$5,IF($F52="BC",'Fleet Tech - Tech'!I$6,IF($F52="BB",'Fleet Tech - Tech'!I$7,IF($F52="CVL",'Fleet Tech - Tech'!I$8,IF($F52="CV",'Fleet Tech - Tech'!I$9,IF($F52="SS",'Fleet Tech - Tech'!I$10,IF($F52="BBV",'Fleet Tech - Tech'!I$11,IF($F52="CB",'Fleet Tech - Tech'!I$15,IF($F52="AE",'Fleet Tech - Tech'!I$16,IF($F52="IX",'Fleet Tech - Tech'!I$17,IF($F52="BM",'Fleet Tech - Tech'!I$13,IF($F52="AR",'Fleet Tech - Tech'!I$12,IF($F52="SSV",'Fleet Tech - Tech'!I$14,"nil"))))))))))))))),0)</f>
        <v>0</v>
      </c>
      <c r="BC52" s="12">
        <f>IF($H52=3,IF(OR($F52="DDV",$F52="DDG",$F52="DD"),'Fleet Tech - Tech'!J$3,IF($F52="CL",'Fleet Tech - Tech'!J$4,IF($F52="CA",'Fleet Tech - Tech'!J$5,IF($F52="BC",'Fleet Tech - Tech'!J$6,IF($F52="BB",'Fleet Tech - Tech'!J$7,IF($F52="CVL",'Fleet Tech - Tech'!J$8,IF($F52="CV",'Fleet Tech - Tech'!J$9,IF($F52="SS",'Fleet Tech - Tech'!J$10,IF($F52="BBV",'Fleet Tech - Tech'!J$11,IF($F52="CB",'Fleet Tech - Tech'!J$15,IF($F52="AE",'Fleet Tech - Tech'!J$16,IF($F52="IX",'Fleet Tech - Tech'!J$17,IF($F52="BM",'Fleet Tech - Tech'!J$13,IF($F52="AR",'Fleet Tech - Tech'!J$12,IF($F52="SSV",'Fleet Tech - Tech'!J$14,"nil"))))))))))))))),0)</f>
        <v>0</v>
      </c>
      <c r="BD52" s="12">
        <f>IF($H52=3,IF(OR($F52="DDV",$F52="DDG",$F52="DD"),'Fleet Tech - Tech'!K$3,IF($F52="CL",'Fleet Tech - Tech'!K$4,IF($F52="CA",'Fleet Tech - Tech'!K$5,IF($F52="BC",'Fleet Tech - Tech'!K$6,IF($F52="BB",'Fleet Tech - Tech'!K$7,IF($F52="CVL",'Fleet Tech - Tech'!K$8,IF($F52="CV",'Fleet Tech - Tech'!K$9,IF($F52="SS",'Fleet Tech - Tech'!K$10,IF($F52="BBV",'Fleet Tech - Tech'!K$11,IF($F52="CB",'Fleet Tech - Tech'!K$15,IF($F52="AE",'Fleet Tech - Tech'!K$16,IF($F52="IX",'Fleet Tech - Tech'!K$17,IF($F52="BM",'Fleet Tech - Tech'!K$13,IF($F52="AR",'Fleet Tech - Tech'!K$12,IF($F52="SSV",'Fleet Tech - Tech'!K$14,"nil"))))))))))))))),0)</f>
        <v>0</v>
      </c>
      <c r="BE52" s="12">
        <f>IF($H52=3,IF(OR($F52="DDV",$F52="DDG",$F52="DD"),'Fleet Tech - Tech'!L$3,IF($F52="CL",'Fleet Tech - Tech'!L$4,IF($F52="CA",'Fleet Tech - Tech'!L$5,IF($F52="BC",'Fleet Tech - Tech'!L$6,IF($F52="BB",'Fleet Tech - Tech'!L$7,IF($F52="CVL",'Fleet Tech - Tech'!L$8,IF($F52="CV",'Fleet Tech - Tech'!L$9,IF($F52="SS",'Fleet Tech - Tech'!L$10,IF($F52="BBV",'Fleet Tech - Tech'!L$11,IF($F52="CB",'Fleet Tech - Tech'!L$15,IF($F52="AE",'Fleet Tech - Tech'!L$16,IF($F52="IX",'Fleet Tech - Tech'!L$17,IF($F52="BM",'Fleet Tech - Tech'!L$13,IF($F52="AR",'Fleet Tech - Tech'!L$12,IF($F52="SSV",'Fleet Tech - Tech'!L$14,"nil"))))))))))))))),0)</f>
        <v>4</v>
      </c>
      <c r="BF52" s="12">
        <f>IF($H52=3,IF(OR($F52="DDV",$F52="DDG",$F52="DD"),'Fleet Tech - Tech'!M$3,IF($F52="CL",'Fleet Tech - Tech'!M$4,IF($F52="CA",'Fleet Tech - Tech'!M$5,IF($F52="BC",'Fleet Tech - Tech'!M$6,IF($F52="BB",'Fleet Tech - Tech'!M$7,IF($F52="CVL",'Fleet Tech - Tech'!M$8,IF($F52="CV",'Fleet Tech - Tech'!M$9,IF($F52="SS",'Fleet Tech - Tech'!M$10,IF($F52="BBV",'Fleet Tech - Tech'!M$11,IF($F52="CB",'Fleet Tech - Tech'!M$15,IF($F52="AE",'Fleet Tech - Tech'!M$16,IF($F52="IX",'Fleet Tech - Tech'!M$17,IF($F52="BM",'Fleet Tech - Tech'!M$13,IF($F52="AR",'Fleet Tech - Tech'!M$12,IF($F52="SSV",'Fleet Tech - Tech'!M$14,"nil"))))))))))))))),0)</f>
        <v>0</v>
      </c>
      <c r="BG52" s="12">
        <f>IF($H52=3,IF(OR($F52="DDV",$F52="DDG",$F52="DD"),'Fleet Tech - Tech'!N$3,IF($F52="CL",'Fleet Tech - Tech'!N$4,IF($F52="CA",'Fleet Tech - Tech'!N$5,IF($F52="BC",'Fleet Tech - Tech'!N$6,IF($F52="BB",'Fleet Tech - Tech'!N$7,IF($F52="CVL",'Fleet Tech - Tech'!N$8,IF($F52="CV",'Fleet Tech - Tech'!N$9,IF($F52="SS",'Fleet Tech - Tech'!N$10,IF($F52="BBV",'Fleet Tech - Tech'!N$11,IF($F52="CB",'Fleet Tech - Tech'!N$15,IF($F52="AE",'Fleet Tech - Tech'!N$16,IF($F52="IX",'Fleet Tech - Tech'!N$17,IF($F52="BM",'Fleet Tech - Tech'!N$13,IF($F52="AR",'Fleet Tech - Tech'!N$12,IF($F52="SSV",'Fleet Tech - Tech'!N$14,"nil"))))))))))))))),0)</f>
        <v>2</v>
      </c>
      <c r="BH52" s="28"/>
      <c r="BI52" s="12">
        <v>4354</v>
      </c>
      <c r="BJ52" s="12">
        <v>0</v>
      </c>
      <c r="BK52" s="12">
        <v>232</v>
      </c>
      <c r="BL52" s="12">
        <v>0</v>
      </c>
      <c r="BM52" s="12">
        <v>93</v>
      </c>
      <c r="BN52" s="12">
        <v>0</v>
      </c>
      <c r="BO52" s="12">
        <v>256</v>
      </c>
      <c r="BP52" s="12">
        <v>0</v>
      </c>
      <c r="BQ52" s="12">
        <v>28</v>
      </c>
      <c r="BR52" s="12">
        <v>11</v>
      </c>
      <c r="BS52" s="12">
        <v>64</v>
      </c>
      <c r="BT52" s="12">
        <v>35</v>
      </c>
      <c r="BU52" s="12">
        <v>67</v>
      </c>
      <c r="BV52" s="12">
        <v>335</v>
      </c>
      <c r="BW52" s="28"/>
      <c r="BX52" s="12">
        <v>-1</v>
      </c>
      <c r="BY52" s="12">
        <v>-1</v>
      </c>
      <c r="BZ52" s="12">
        <v>-1</v>
      </c>
      <c r="CA52" s="12">
        <v>-1</v>
      </c>
      <c r="CB52" s="12">
        <v>-1</v>
      </c>
      <c r="CC52" s="12">
        <v>-1</v>
      </c>
      <c r="CD52" s="12">
        <v>-1</v>
      </c>
      <c r="CE52" s="12">
        <v>-1</v>
      </c>
      <c r="CF52" s="12">
        <v>-1</v>
      </c>
      <c r="CG52" s="12">
        <v>-1</v>
      </c>
      <c r="CH52" s="12">
        <v>-1</v>
      </c>
      <c r="CI52" s="12">
        <v>-1</v>
      </c>
      <c r="CJ52" s="47"/>
      <c r="CK52" s="48">
        <f>IF(BX52=5,320,IF(BX52=4,195,IF(BX52=3,132,IF(BX52=2,90,IF(BX52=1,58,IF(BX52=-1,0,35))))))</f>
        <v>0</v>
      </c>
      <c r="CL52" s="48">
        <f>IF(BX52=5,20,IF(BX52=4,15,IF(BX52=3,12,IF(BX52=2,10,IF(BX52=1,8,IF(BX52=-1,0,5))))))</f>
        <v>0</v>
      </c>
      <c r="CM52" s="48">
        <f>IF(BZ52=5,320,IF(BZ52=4,195,IF(BZ52=3,132,IF(BZ52=2,90,IF(BZ52=1,58,IF(BZ52=-1,0,35))))))</f>
        <v>0</v>
      </c>
      <c r="CN52" s="48">
        <f>IF(BZ52=5,20,IF(BZ52=4,15,IF(BZ52=3,12,IF(BZ52=2,10,IF(BZ52=1,8,IF(BZ52=-1,0,5))))))</f>
        <v>0</v>
      </c>
      <c r="CO52" s="48">
        <f>IF(CB52=5,320,IF(CB52=4,195,IF(CB52=3,132,IF(CB52=2,90,IF(CB52=1,58,IF(CB52=-1,0,35))))))</f>
        <v>0</v>
      </c>
      <c r="CP52" s="48">
        <f>IF(CB52=5,20,IF(CB52=4,15,IF(CB52=3,12,IF(CB52=2,10,IF(CB52=1,8,IF(CB52=-1,0,5))))))</f>
        <v>0</v>
      </c>
      <c r="CQ52" s="48">
        <f>IF(CD52=5,320,IF(CD52=4,195,IF(CD52=3,132,IF(CD52=2,90,IF(CD52=1,58,IF(CD52=-1,0,35))))))</f>
        <v>0</v>
      </c>
      <c r="CR52" s="48">
        <f>IF(CD52=5,20,IF(CD52=4,15,IF(CD52=3,12,IF(CD52=2,10,IF(CD52=1,8,IF(CD52=-1,0,5))))))</f>
        <v>0</v>
      </c>
      <c r="CS52" s="48">
        <f>IF(CF52=5,320,IF(CF52=4,195,IF(CF52=3,132,IF(CF52=2,90,IF(CF52=1,58,IF(CF52=-1,0,35))))))</f>
        <v>0</v>
      </c>
      <c r="CT52" s="48">
        <f>IF(CF52=5,20,IF(CF52=4,15,IF(CF52=3,12,IF(CF52=2,10,IF(CF52=1,8,IF(CF52=-1,0,5))))))</f>
        <v>0</v>
      </c>
      <c r="CU52" s="48">
        <f>IF(CH52=5,320,IF(CH52=4,195,IF(CH52=3,132,IF(CH52=2,90,IF(CH52=1,58,IF(CH52=-1,0,35))))))</f>
        <v>0</v>
      </c>
      <c r="CV52" s="48">
        <f>IF(CH52=5,20,IF(CH52=4,15,IF(CH52=3,12,IF(CH52=2,10,IF(CH52=1,8,IF(CH52=-1,0,5))))))</f>
        <v>0</v>
      </c>
      <c r="CW52" s="48">
        <f>IF(BY52&gt;10,(BY52/10)-ROUNDDOWN(BY52/10,0),0)+IF(CA52&gt;10,(CA52/10)-ROUNDDOWN(CA52/10,0),0)+IF(CC52&gt;10,(CC52/10)-ROUNDDOWN(CC52/10,0),0)+IF(CE52&gt;10,(CE52/10)-ROUNDDOWN(CE52/10,0),0)+IF(CG52&gt;10,(CG52/10)-ROUNDDOWN(CG52/10,0),0)+IF(CI52&gt;10,(CI52/10)-ROUNDDOWN(CI52/10,0),0)</f>
        <v>0</v>
      </c>
      <c r="CX52" s="48">
        <f>1+(CW52/10)</f>
        <v>1</v>
      </c>
    </row>
    <row r="53" ht="20.05" customHeight="1">
      <c r="A53" t="s" s="43">
        <v>331</v>
      </c>
      <c r="B53" s="49"/>
      <c r="C53" t="s" s="45">
        <v>279</v>
      </c>
      <c r="D53" s="13">
        <v>7</v>
      </c>
      <c r="E53" t="s" s="15">
        <v>232</v>
      </c>
      <c r="F53" t="s" s="15">
        <v>284</v>
      </c>
      <c r="G53" t="s" s="15">
        <v>282</v>
      </c>
      <c r="H53" s="12">
        <v>3</v>
      </c>
      <c r="I53" t="s" s="15">
        <v>235</v>
      </c>
      <c r="J53" s="12">
        <v>79</v>
      </c>
      <c r="K53" t="s" s="14">
        <v>236</v>
      </c>
      <c r="L53" t="s" s="15">
        <v>247</v>
      </c>
      <c r="M53" t="s" s="15">
        <v>248</v>
      </c>
      <c r="N53" s="46">
        <f>ROUND((SUM(AA53,T53:Y53,AC53:AE53,Z53*10)-AB53*15)*(IF(K53="Heavy",0.15,IF(K53="Medium",0,IF(K53="Light",-0.15,10)))+1),0)</f>
        <v>422</v>
      </c>
      <c r="O53" s="46">
        <v>922</v>
      </c>
      <c r="P53" s="46">
        <f>ROUNDDOWN((BI53+AU53+AG53)/5,0)+(BJ53+AV53+AH53)+(BN53+AZ53+AL53)+(BO53+BA53+AM53)+(BK53+AW53+AI53)+(BS53+BE53+AQ53)+(BL53+AX53+AJ53)+(BQ53+BC53+AO53)+(2*((BT53+BF53+AR53)+(BU53+BG53+AS53)))+(CK53+CM53+CO53+CQ53+CS53+CU53)+(CL53*BY53)+(CN53*CA53)+(CP53+CC53)+(CR53+CE53)+(CT53+CG53)+(CV53+CI53)+BV53</f>
        <v>1293</v>
      </c>
      <c r="Q53" s="46">
        <f>ROUNDDOWN(((S53/5)+T53+X53+Y53+U53+AC53+V53+AA53+(2*(AD53+AE53))+CK53+CM53+CO53+CQ53+CS53+CU53+(CL53*BX53)+(CN53*BZ53)+(CP53*CB53)+(CR53*CD53)+(CT53*CF53)+(CV53*CH53))*CX53,0)</f>
        <v>994</v>
      </c>
      <c r="R53" s="46">
        <f>ROUNDDOWN(AVERAGE(P53:Q53),0)</f>
        <v>1143</v>
      </c>
      <c r="S53" s="12">
        <f>AG53+AU53+BI53</f>
        <v>431</v>
      </c>
      <c r="T53" s="12">
        <f>AH53+AV53+BJ53</f>
        <v>38</v>
      </c>
      <c r="U53" s="12">
        <f>AI53+AW53+BK53</f>
        <v>23</v>
      </c>
      <c r="V53" s="12">
        <f>AJ53+AX53+BL53</f>
        <v>31</v>
      </c>
      <c r="W53" s="12">
        <f>AK53+AY53+BM53</f>
        <v>100</v>
      </c>
      <c r="X53" s="12">
        <f>AL53+AZ53+BN53</f>
        <v>19</v>
      </c>
      <c r="Y53" s="12">
        <f>AM53+BA53+BO53</f>
        <v>17</v>
      </c>
      <c r="Z53" s="12">
        <f>AN53+BB53+BP53</f>
        <v>0</v>
      </c>
      <c r="AA53" s="12">
        <f>AO53+BC53+BQ53</f>
        <v>35</v>
      </c>
      <c r="AB53" s="12">
        <f>AP53+BD53+BR53</f>
        <v>3</v>
      </c>
      <c r="AC53" s="12">
        <f>AQ53+BE53+BS53</f>
        <v>91</v>
      </c>
      <c r="AD53" s="12">
        <f>AR53+BF53+BT53</f>
        <v>99</v>
      </c>
      <c r="AE53" s="12">
        <f>AS53+BG53+BU53</f>
        <v>89</v>
      </c>
      <c r="AF53" s="28"/>
      <c r="AG53" s="12">
        <v>125</v>
      </c>
      <c r="AH53" s="12">
        <v>10</v>
      </c>
      <c r="AI53" s="12">
        <v>3</v>
      </c>
      <c r="AJ53" s="12">
        <v>2</v>
      </c>
      <c r="AK53" s="28"/>
      <c r="AL53" s="12">
        <v>1</v>
      </c>
      <c r="AM53" s="28"/>
      <c r="AN53" s="28"/>
      <c r="AO53" s="28"/>
      <c r="AP53" s="28"/>
      <c r="AQ53" s="12">
        <v>1</v>
      </c>
      <c r="AR53" s="12">
        <v>5</v>
      </c>
      <c r="AS53" s="28"/>
      <c r="AT53" s="28"/>
      <c r="AU53" s="12">
        <f>IF($H53=3,IF(OR($F53="DDV",$F53="DDG",$F53="DD"),'Fleet Tech - Tech'!B$3,IF($F53="CL",'Fleet Tech - Tech'!B$4,IF($F53="CA",'Fleet Tech - Tech'!B$5,IF($F53="BC",'Fleet Tech - Tech'!B$6,IF($F53="BB",'Fleet Tech - Tech'!B$7,IF($F53="CVL",'Fleet Tech - Tech'!B$8,IF($F53="CV",'Fleet Tech - Tech'!B$9,IF($F53="SS",'Fleet Tech - Tech'!B$10,IF($F53="BBV",'Fleet Tech - Tech'!B$11,IF($F53="CB",'Fleet Tech - Tech'!B$15,IF($F53="AE",'Fleet Tech - Tech'!B$16,IF($F53="IX",'Fleet Tech - Tech'!B$17,IF($F53="BM",'Fleet Tech - Tech'!B$13,IF($F53="AR",'Fleet Tech - Tech'!B$12,IF($F53="SSV",'Fleet Tech - Tech'!B$14,"nil"))))))))))))))),0)</f>
        <v>128</v>
      </c>
      <c r="AV53" s="12">
        <f>IF($H53=3,IF(OR($F53="DDV",$F53="DDG",$F53="DD"),'Fleet Tech - Tech'!C$3,IF($F53="CL",'Fleet Tech - Tech'!C$4,IF($F53="CA",'Fleet Tech - Tech'!C$5,IF($F53="BC",'Fleet Tech - Tech'!C$6,IF($F53="BB",'Fleet Tech - Tech'!C$7,IF($F53="CVL",'Fleet Tech - Tech'!C$8,IF($F53="CV",'Fleet Tech - Tech'!C$9,IF($F53="SS",'Fleet Tech - Tech'!C$10,IF($F53="BBV",'Fleet Tech - Tech'!C$11,IF($F53="CB",'Fleet Tech - Tech'!C$15,IF($F53="AE",'Fleet Tech - Tech'!C$16,IF($F53="IX",'Fleet Tech - Tech'!C$17,IF($F53="BM",'Fleet Tech - Tech'!C$13,IF($F53="AR",'Fleet Tech - Tech'!C$12,IF($F53="SSV",'Fleet Tech - Tech'!C$14,"nil"))))))))))))))),0)</f>
        <v>11</v>
      </c>
      <c r="AW53" s="12">
        <f>IF($H53=3,IF(OR($F53="DDV",$F53="DDG",$F53="DD"),'Fleet Tech - Tech'!D$3,IF($F53="CL",'Fleet Tech - Tech'!D$4,IF($F53="CA",'Fleet Tech - Tech'!D$5,IF($F53="BC",'Fleet Tech - Tech'!D$6,IF($F53="BB",'Fleet Tech - Tech'!D$7,IF($F53="CVL",'Fleet Tech - Tech'!D$8,IF($F53="CV",'Fleet Tech - Tech'!D$9,IF($F53="SS",'Fleet Tech - Tech'!D$10,IF($F53="BBV",'Fleet Tech - Tech'!D$11,IF($F53="CB",'Fleet Tech - Tech'!D$15,IF($F53="AE",'Fleet Tech - Tech'!D$16,IF($F53="IX",'Fleet Tech - Tech'!D$17,IF($F53="BM",'Fleet Tech - Tech'!D$13,IF($F53="AR",'Fleet Tech - Tech'!D$12,IF($F53="SSV",'Fleet Tech - Tech'!D$14,"nil"))))))))))))))),0)</f>
        <v>3</v>
      </c>
      <c r="AX53" s="12">
        <f>IF($H53=3,IF(OR($F53="DDV",$F53="DDG",$F53="DD"),'Fleet Tech - Tech'!E$3,IF($F53="CL",'Fleet Tech - Tech'!E$4,IF($F53="CA",'Fleet Tech - Tech'!E$5,IF($F53="BC",'Fleet Tech - Tech'!E$6,IF($F53="BB",'Fleet Tech - Tech'!E$7,IF($F53="CVL",'Fleet Tech - Tech'!E$8,IF($F53="CV",'Fleet Tech - Tech'!E$9,IF($F53="SS",'Fleet Tech - Tech'!E$10,IF($F53="BBV",'Fleet Tech - Tech'!E$11,IF($F53="CB",'Fleet Tech - Tech'!E$15,IF($F53="AE",'Fleet Tech - Tech'!E$16,IF($F53="IX",'Fleet Tech - Tech'!E$17,IF($F53="BM",'Fleet Tech - Tech'!E$13,IF($F53="AR",'Fleet Tech - Tech'!E$12,IF($F53="SSV",'Fleet Tech - Tech'!E$14,"nil"))))))))))))))),0)</f>
        <v>2</v>
      </c>
      <c r="AY53" s="12">
        <f>IF($H53=3,IF(OR($F53="DDV",$F53="DDG",$F53="DD"),'Fleet Tech - Tech'!F$3,IF($F53="CL",'Fleet Tech - Tech'!F$4,IF($F53="CA",'Fleet Tech - Tech'!F$5,IF($F53="BC",'Fleet Tech - Tech'!F$6,IF($F53="BB",'Fleet Tech - Tech'!F$7,IF($F53="CVL",'Fleet Tech - Tech'!F$8,IF($F53="CV",'Fleet Tech - Tech'!F$9,IF($F53="SS",'Fleet Tech - Tech'!F$10,IF($F53="BBV",'Fleet Tech - Tech'!F$11,IF($F53="CB",'Fleet Tech - Tech'!F$15,IF($F53="AE",'Fleet Tech - Tech'!F$16,IF($F53="IX",'Fleet Tech - Tech'!F$17,IF($F53="BM",'Fleet Tech - Tech'!F$13,IF($F53="AR",'Fleet Tech - Tech'!F$12,IF($F53="SSV",'Fleet Tech - Tech'!F$14,"nil"))))))))))))))),0)</f>
        <v>0</v>
      </c>
      <c r="AZ53" s="12">
        <f>IF($H53=3,IF(OR($F53="DDV",$F53="DDG",$F53="DD"),'Fleet Tech - Tech'!G$3,IF($F53="CL",'Fleet Tech - Tech'!G$4,IF($F53="CA",'Fleet Tech - Tech'!G$5,IF($F53="BC",'Fleet Tech - Tech'!G$6,IF($F53="BB",'Fleet Tech - Tech'!G$7,IF($F53="CVL",'Fleet Tech - Tech'!G$8,IF($F53="CV",'Fleet Tech - Tech'!G$9,IF($F53="SS",'Fleet Tech - Tech'!G$10,IF($F53="BBV",'Fleet Tech - Tech'!G$11,IF($F53="CB",'Fleet Tech - Tech'!G$15,IF($F53="AE",'Fleet Tech - Tech'!G$16,IF($F53="IX",'Fleet Tech - Tech'!G$17,IF($F53="BM",'Fleet Tech - Tech'!G$13,IF($F53="AR",'Fleet Tech - Tech'!G$12,IF($F53="SSV",'Fleet Tech - Tech'!G$14,"nil"))))))))))))))),0)</f>
        <v>1</v>
      </c>
      <c r="BA53" s="12">
        <f>IF($H53=3,IF(OR($F53="DDV",$F53="DDG",$F53="DD"),'Fleet Tech - Tech'!H$3,IF($F53="CL",'Fleet Tech - Tech'!H$4,IF($F53="CA",'Fleet Tech - Tech'!H$5,IF($F53="BC",'Fleet Tech - Tech'!H$6,IF($F53="BB",'Fleet Tech - Tech'!H$7,IF($F53="CVL",'Fleet Tech - Tech'!H$8,IF($F53="CV",'Fleet Tech - Tech'!H$9,IF($F53="SS",'Fleet Tech - Tech'!H$10,IF($F53="BBV",'Fleet Tech - Tech'!H$11,IF($F53="CB",'Fleet Tech - Tech'!H$15,IF($F53="AE",'Fleet Tech - Tech'!H$16,IF($F53="IX",'Fleet Tech - Tech'!H$17,IF($F53="BM",'Fleet Tech - Tech'!H$13,IF($F53="AR",'Fleet Tech - Tech'!H$12,IF($F53="SSV",'Fleet Tech - Tech'!H$14,"nil"))))))))))))))),0)</f>
        <v>0</v>
      </c>
      <c r="BB53" s="12">
        <f>IF($H53=3,IF(OR($F53="DDV",$F53="DDG",$F53="DD"),'Fleet Tech - Tech'!I$3,IF($F53="CL",'Fleet Tech - Tech'!I$4,IF($F53="CA",'Fleet Tech - Tech'!I$5,IF($F53="BC",'Fleet Tech - Tech'!I$6,IF($F53="BB",'Fleet Tech - Tech'!I$7,IF($F53="CVL",'Fleet Tech - Tech'!I$8,IF($F53="CV",'Fleet Tech - Tech'!I$9,IF($F53="SS",'Fleet Tech - Tech'!I$10,IF($F53="BBV",'Fleet Tech - Tech'!I$11,IF($F53="CB",'Fleet Tech - Tech'!I$15,IF($F53="AE",'Fleet Tech - Tech'!I$16,IF($F53="IX",'Fleet Tech - Tech'!I$17,IF($F53="BM",'Fleet Tech - Tech'!I$13,IF($F53="AR",'Fleet Tech - Tech'!I$12,IF($F53="SSV",'Fleet Tech - Tech'!I$14,"nil"))))))))))))))),0)</f>
        <v>0</v>
      </c>
      <c r="BC53" s="12">
        <f>IF($H53=3,IF(OR($F53="DDV",$F53="DDG",$F53="DD"),'Fleet Tech - Tech'!J$3,IF($F53="CL",'Fleet Tech - Tech'!J$4,IF($F53="CA",'Fleet Tech - Tech'!J$5,IF($F53="BC",'Fleet Tech - Tech'!J$6,IF($F53="BB",'Fleet Tech - Tech'!J$7,IF($F53="CVL",'Fleet Tech - Tech'!J$8,IF($F53="CV",'Fleet Tech - Tech'!J$9,IF($F53="SS",'Fleet Tech - Tech'!J$10,IF($F53="BBV",'Fleet Tech - Tech'!J$11,IF($F53="CB",'Fleet Tech - Tech'!J$15,IF($F53="AE",'Fleet Tech - Tech'!J$16,IF($F53="IX",'Fleet Tech - Tech'!J$17,IF($F53="BM",'Fleet Tech - Tech'!J$13,IF($F53="AR",'Fleet Tech - Tech'!J$12,IF($F53="SSV",'Fleet Tech - Tech'!J$14,"nil"))))))))))))))),0)</f>
        <v>0</v>
      </c>
      <c r="BD53" s="12">
        <f>IF($H53=3,IF(OR($F53="DDV",$F53="DDG",$F53="DD"),'Fleet Tech - Tech'!K$3,IF($F53="CL",'Fleet Tech - Tech'!K$4,IF($F53="CA",'Fleet Tech - Tech'!K$5,IF($F53="BC",'Fleet Tech - Tech'!K$6,IF($F53="BB",'Fleet Tech - Tech'!K$7,IF($F53="CVL",'Fleet Tech - Tech'!K$8,IF($F53="CV",'Fleet Tech - Tech'!K$9,IF($F53="SS",'Fleet Tech - Tech'!K$10,IF($F53="BBV",'Fleet Tech - Tech'!K$11,IF($F53="CB",'Fleet Tech - Tech'!K$15,IF($F53="AE",'Fleet Tech - Tech'!K$16,IF($F53="IX",'Fleet Tech - Tech'!K$17,IF($F53="BM",'Fleet Tech - Tech'!K$13,IF($F53="AR",'Fleet Tech - Tech'!K$12,IF($F53="SSV",'Fleet Tech - Tech'!K$14,"nil"))))))))))))))),0)</f>
        <v>0</v>
      </c>
      <c r="BE53" s="12">
        <f>IF($H53=3,IF(OR($F53="DDV",$F53="DDG",$F53="DD"),'Fleet Tech - Tech'!L$3,IF($F53="CL",'Fleet Tech - Tech'!L$4,IF($F53="CA",'Fleet Tech - Tech'!L$5,IF($F53="BC",'Fleet Tech - Tech'!L$6,IF($F53="BB",'Fleet Tech - Tech'!L$7,IF($F53="CVL",'Fleet Tech - Tech'!L$8,IF($F53="CV",'Fleet Tech - Tech'!L$9,IF($F53="SS",'Fleet Tech - Tech'!L$10,IF($F53="BBV",'Fleet Tech - Tech'!L$11,IF($F53="CB",'Fleet Tech - Tech'!L$15,IF($F53="AE",'Fleet Tech - Tech'!L$16,IF($F53="IX",'Fleet Tech - Tech'!L$17,IF($F53="BM",'Fleet Tech - Tech'!L$13,IF($F53="AR",'Fleet Tech - Tech'!L$12,IF($F53="SSV",'Fleet Tech - Tech'!L$14,"nil"))))))))))))))),0)</f>
        <v>1</v>
      </c>
      <c r="BF53" s="12">
        <f>IF($H53=3,IF(OR($F53="DDV",$F53="DDG",$F53="DD"),'Fleet Tech - Tech'!M$3,IF($F53="CL",'Fleet Tech - Tech'!M$4,IF($F53="CA",'Fleet Tech - Tech'!M$5,IF($F53="BC",'Fleet Tech - Tech'!M$6,IF($F53="BB",'Fleet Tech - Tech'!M$7,IF($F53="CVL",'Fleet Tech - Tech'!M$8,IF($F53="CV",'Fleet Tech - Tech'!M$9,IF($F53="SS",'Fleet Tech - Tech'!M$10,IF($F53="BBV",'Fleet Tech - Tech'!M$11,IF($F53="CB",'Fleet Tech - Tech'!M$15,IF($F53="AE",'Fleet Tech - Tech'!M$16,IF($F53="IX",'Fleet Tech - Tech'!M$17,IF($F53="BM",'Fleet Tech - Tech'!M$13,IF($F53="AR",'Fleet Tech - Tech'!M$12,IF($F53="SSV",'Fleet Tech - Tech'!M$14,"nil"))))))))))))))),0)</f>
        <v>5</v>
      </c>
      <c r="BG53" s="12">
        <f>IF($H53=3,IF(OR($F53="DDV",$F53="DDG",$F53="DD"),'Fleet Tech - Tech'!N$3,IF($F53="CL",'Fleet Tech - Tech'!N$4,IF($F53="CA",'Fleet Tech - Tech'!N$5,IF($F53="BC",'Fleet Tech - Tech'!N$6,IF($F53="BB",'Fleet Tech - Tech'!N$7,IF($F53="CVL",'Fleet Tech - Tech'!N$8,IF($F53="CV",'Fleet Tech - Tech'!N$9,IF($F53="SS",'Fleet Tech - Tech'!N$10,IF($F53="BBV",'Fleet Tech - Tech'!N$11,IF($F53="CB",'Fleet Tech - Tech'!N$15,IF($F53="AE",'Fleet Tech - Tech'!N$16,IF($F53="IX",'Fleet Tech - Tech'!N$17,IF($F53="BM",'Fleet Tech - Tech'!N$13,IF($F53="AR",'Fleet Tech - Tech'!N$12,IF($F53="SSV",'Fleet Tech - Tech'!N$14,"nil"))))))))))))))),0)</f>
        <v>0</v>
      </c>
      <c r="BH53" s="28"/>
      <c r="BI53" s="12">
        <v>178</v>
      </c>
      <c r="BJ53" s="12">
        <v>17</v>
      </c>
      <c r="BK53" s="12">
        <v>17</v>
      </c>
      <c r="BL53" s="12">
        <v>27</v>
      </c>
      <c r="BM53" s="12">
        <v>100</v>
      </c>
      <c r="BN53" s="12">
        <v>17</v>
      </c>
      <c r="BO53" s="12">
        <v>17</v>
      </c>
      <c r="BP53" s="28"/>
      <c r="BQ53" s="12">
        <v>35</v>
      </c>
      <c r="BR53" s="12">
        <v>3</v>
      </c>
      <c r="BS53" s="12">
        <v>89</v>
      </c>
      <c r="BT53" s="12">
        <v>89</v>
      </c>
      <c r="BU53" s="12">
        <v>89</v>
      </c>
      <c r="BV53" s="12">
        <v>335</v>
      </c>
      <c r="BW53" s="28"/>
      <c r="BX53" s="12">
        <v>-1</v>
      </c>
      <c r="BY53" s="12">
        <v>-1</v>
      </c>
      <c r="BZ53" s="12">
        <v>-1</v>
      </c>
      <c r="CA53" s="12">
        <v>-1</v>
      </c>
      <c r="CB53" s="12">
        <v>2</v>
      </c>
      <c r="CC53" s="12">
        <v>0</v>
      </c>
      <c r="CD53" s="12">
        <v>3</v>
      </c>
      <c r="CE53" s="12">
        <v>0</v>
      </c>
      <c r="CF53" s="12">
        <v>-1</v>
      </c>
      <c r="CG53" s="12">
        <v>-1</v>
      </c>
      <c r="CH53" s="12">
        <v>-1</v>
      </c>
      <c r="CI53" s="12">
        <v>-1</v>
      </c>
      <c r="CJ53" s="47"/>
      <c r="CK53" s="48">
        <f>IF(BX53=5,320,IF(BX53=4,195,IF(BX53=3,132,IF(BX53=2,90,IF(BX53=1,58,IF(BX53=-1,0,35))))))</f>
        <v>0</v>
      </c>
      <c r="CL53" s="48">
        <f>IF(BX53=5,20,IF(BX53=4,15,IF(BX53=3,12,IF(BX53=2,10,IF(BX53=1,8,IF(BX53=-1,0,5))))))</f>
        <v>0</v>
      </c>
      <c r="CM53" s="48">
        <f>IF(BZ53=5,320,IF(BZ53=4,195,IF(BZ53=3,132,IF(BZ53=2,90,IF(BZ53=1,58,IF(BZ53=-1,0,35))))))</f>
        <v>0</v>
      </c>
      <c r="CN53" s="48">
        <f>IF(BZ53=5,20,IF(BZ53=4,15,IF(BZ53=3,12,IF(BZ53=2,10,IF(BZ53=1,8,IF(BZ53=-1,0,5))))))</f>
        <v>0</v>
      </c>
      <c r="CO53" s="48">
        <f>IF(CB53=5,320,IF(CB53=4,195,IF(CB53=3,132,IF(CB53=2,90,IF(CB53=1,58,IF(CB53=-1,0,35))))))</f>
        <v>90</v>
      </c>
      <c r="CP53" s="48">
        <f>IF(CB53=5,20,IF(CB53=4,15,IF(CB53=3,12,IF(CB53=2,10,IF(CB53=1,8,IF(CB53=-1,0,5))))))</f>
        <v>10</v>
      </c>
      <c r="CQ53" s="48">
        <f>IF(CD53=5,320,IF(CD53=4,195,IF(CD53=3,132,IF(CD53=2,90,IF(CD53=1,58,IF(CD53=-1,0,35))))))</f>
        <v>132</v>
      </c>
      <c r="CR53" s="48">
        <f>IF(CD53=5,20,IF(CD53=4,15,IF(CD53=3,12,IF(CD53=2,10,IF(CD53=1,8,IF(CD53=-1,0,5))))))</f>
        <v>12</v>
      </c>
      <c r="CS53" s="48">
        <f>IF(CF53=5,320,IF(CF53=4,195,IF(CF53=3,132,IF(CF53=2,90,IF(CF53=1,58,IF(CF53=-1,0,35))))))</f>
        <v>0</v>
      </c>
      <c r="CT53" s="48">
        <f>IF(CF53=5,20,IF(CF53=4,15,IF(CF53=3,12,IF(CF53=2,10,IF(CF53=1,8,IF(CF53=-1,0,5))))))</f>
        <v>0</v>
      </c>
      <c r="CU53" s="48">
        <f>IF(CH53=5,320,IF(CH53=4,195,IF(CH53=3,132,IF(CH53=2,90,IF(CH53=1,58,IF(CH53=-1,0,35))))))</f>
        <v>0</v>
      </c>
      <c r="CV53" s="48">
        <f>IF(CH53=5,20,IF(CH53=4,15,IF(CH53=3,12,IF(CH53=2,10,IF(CH53=1,8,IF(CH53=-1,0,5))))))</f>
        <v>0</v>
      </c>
      <c r="CW53" s="48">
        <f>IF(BY53&gt;10,(BY53/10)-ROUNDDOWN(BY53/10,0),0)+IF(CA53&gt;10,(CA53/10)-ROUNDDOWN(CA53/10,0),0)+IF(CC53&gt;10,(CC53/10)-ROUNDDOWN(CC53/10,0),0)+IF(CE53&gt;10,(CE53/10)-ROUNDDOWN(CE53/10,0),0)+IF(CG53&gt;10,(CG53/10)-ROUNDDOWN(CG53/10,0),0)+IF(CI53&gt;10,(CI53/10)-ROUNDDOWN(CI53/10,0),0)</f>
        <v>0</v>
      </c>
      <c r="CX53" s="48">
        <f>1+(CW53/10)</f>
        <v>1</v>
      </c>
    </row>
    <row r="54" ht="20.05" customHeight="1">
      <c r="A54" t="s" s="43">
        <v>332</v>
      </c>
      <c r="B54" s="49"/>
      <c r="C54" t="s" s="45">
        <v>279</v>
      </c>
      <c r="D54" s="13">
        <v>7</v>
      </c>
      <c r="E54" t="s" s="15">
        <v>240</v>
      </c>
      <c r="F54" t="s" s="15">
        <v>241</v>
      </c>
      <c r="G54" t="s" s="15">
        <v>282</v>
      </c>
      <c r="H54" s="12">
        <v>3</v>
      </c>
      <c r="I54" t="s" s="15">
        <v>235</v>
      </c>
      <c r="J54" s="12">
        <v>78</v>
      </c>
      <c r="K54" t="s" s="14">
        <v>242</v>
      </c>
      <c r="L54" t="s" s="15">
        <v>265</v>
      </c>
      <c r="M54" t="s" s="15">
        <v>27</v>
      </c>
      <c r="N54" s="46">
        <f>ROUND((SUM(AA54,T54:Y54,AC54:AE54,Z54*10)-AB54*15)*(IF(K54="Heavy",0.15,IF(K54="Medium",0,IF(K54="Light",-0.15,10)))+1),0)</f>
        <v>699</v>
      </c>
      <c r="O54" s="46">
        <v>1980</v>
      </c>
      <c r="P54" s="46">
        <f>ROUNDDOWN((BI54+AU54+AG54)/5,0)+(BJ54+AV54+AH54)+(BN54+AZ54+AL54)+(BO54+BA54+AM54)+(BK54+AW54+AI54)+(BS54+BE54+AQ54)+(BL54+AX54+AJ54)+(BQ54+BC54+AO54)+(2*((BT54+BF54+AR54)+(BU54+BG54+AS54)))+(CK54+CM54+CO54+CQ54+CS54+CU54)+(CL54*BY54)+(CN54*CA54)+(CP54+CC54)+(CR54+CE54)+(CT54+CG54)+(CV54+CI54)+BV54</f>
        <v>2321</v>
      </c>
      <c r="Q54" s="46">
        <f>ROUNDDOWN(((S54/5)+T54+X54+Y54+U54+AC54+V54+AA54+(2*(AD54+AE54))+CK54+CM54+CO54+CQ54+CS54+CU54+(CL54*BX54)+(CN54*BZ54)+(CP54*CB54)+(CR54*CD54)+(CT54*CF54)+(CV54*CH54))*CX54,0)</f>
        <v>1992</v>
      </c>
      <c r="R54" s="46">
        <f>ROUNDDOWN(AVERAGE(P54:Q54),0)</f>
        <v>2156</v>
      </c>
      <c r="S54" s="12">
        <f>AG54+AU54+BI54</f>
        <v>4731</v>
      </c>
      <c r="T54" s="12">
        <f>AH54+AV54+BJ54</f>
        <v>0</v>
      </c>
      <c r="U54" s="12">
        <f>AI54+AW54+BK54</f>
        <v>255</v>
      </c>
      <c r="V54" s="12">
        <f>AJ54+AX54+BL54</f>
        <v>0</v>
      </c>
      <c r="W54" s="12">
        <f>AK54+AY54+BM54</f>
        <v>93</v>
      </c>
      <c r="X54" s="12">
        <f>AL54+AZ54+BN54</f>
        <v>0</v>
      </c>
      <c r="Y54" s="12">
        <f>AM54+BA54+BO54</f>
        <v>296</v>
      </c>
      <c r="Z54" s="12">
        <f>AN54+BB54+BP54</f>
        <v>0</v>
      </c>
      <c r="AA54" s="12">
        <f>AO54+BC54+BQ54</f>
        <v>32</v>
      </c>
      <c r="AB54" s="12">
        <f>AP54+BD54+BR54</f>
        <v>12</v>
      </c>
      <c r="AC54" s="12">
        <f>AQ54+BE54+BS54</f>
        <v>79</v>
      </c>
      <c r="AD54" s="12">
        <f>AR54+BF54+BT54</f>
        <v>44</v>
      </c>
      <c r="AE54" s="12">
        <f>AS54+BG54+BU54</f>
        <v>80</v>
      </c>
      <c r="AF54" s="28"/>
      <c r="AG54" s="28"/>
      <c r="AH54" s="28"/>
      <c r="AI54" s="28"/>
      <c r="AJ54" s="28"/>
      <c r="AK54" s="28"/>
      <c r="AL54" s="28"/>
      <c r="AM54" s="12">
        <v>5</v>
      </c>
      <c r="AN54" s="28"/>
      <c r="AO54" s="28"/>
      <c r="AP54" s="28"/>
      <c r="AQ54" s="28"/>
      <c r="AR54" s="28"/>
      <c r="AS54" s="28"/>
      <c r="AT54" s="28"/>
      <c r="AU54" s="12">
        <f>IF($H54=3,IF(OR($F54="DDV",$F54="DDG",$F54="DD"),'Fleet Tech - Tech'!B$3,IF($F54="CL",'Fleet Tech - Tech'!B$4,IF($F54="CA",'Fleet Tech - Tech'!B$5,IF($F54="BC",'Fleet Tech - Tech'!B$6,IF($F54="BB",'Fleet Tech - Tech'!B$7,IF($F54="CVL",'Fleet Tech - Tech'!B$8,IF($F54="CV",'Fleet Tech - Tech'!B$9,IF($F54="SS",'Fleet Tech - Tech'!B$10,IF($F54="BBV",'Fleet Tech - Tech'!B$11,IF($F54="CB",'Fleet Tech - Tech'!B$15,IF($F54="AE",'Fleet Tech - Tech'!B$16,IF($F54="IX",'Fleet Tech - Tech'!B$17,IF($F54="BM",'Fleet Tech - Tech'!B$13,IF($F54="AR",'Fleet Tech - Tech'!B$12,IF($F54="SSV",'Fleet Tech - Tech'!B$14,"nil"))))))))))))))),0)</f>
        <v>45</v>
      </c>
      <c r="AV54" s="12">
        <f>IF($H54=3,IF(OR($F54="DDV",$F54="DDG",$F54="DD"),'Fleet Tech - Tech'!C$3,IF($F54="CL",'Fleet Tech - Tech'!C$4,IF($F54="CA",'Fleet Tech - Tech'!C$5,IF($F54="BC",'Fleet Tech - Tech'!C$6,IF($F54="BB",'Fleet Tech - Tech'!C$7,IF($F54="CVL",'Fleet Tech - Tech'!C$8,IF($F54="CV",'Fleet Tech - Tech'!C$9,IF($F54="SS",'Fleet Tech - Tech'!C$10,IF($F54="BBV",'Fleet Tech - Tech'!C$11,IF($F54="CB",'Fleet Tech - Tech'!C$15,IF($F54="AE",'Fleet Tech - Tech'!C$16,IF($F54="IX",'Fleet Tech - Tech'!C$17,IF($F54="BM",'Fleet Tech - Tech'!C$13,IF($F54="AR",'Fleet Tech - Tech'!C$12,IF($F54="SSV",'Fleet Tech - Tech'!C$14,"nil"))))))))))))))),0)</f>
        <v>0</v>
      </c>
      <c r="AW54" s="12">
        <f>IF($H54=3,IF(OR($F54="DDV",$F54="DDG",$F54="DD"),'Fleet Tech - Tech'!D$3,IF($F54="CL",'Fleet Tech - Tech'!D$4,IF($F54="CA",'Fleet Tech - Tech'!D$5,IF($F54="BC",'Fleet Tech - Tech'!D$6,IF($F54="BB",'Fleet Tech - Tech'!D$7,IF($F54="CVL",'Fleet Tech - Tech'!D$8,IF($F54="CV",'Fleet Tech - Tech'!D$9,IF($F54="SS",'Fleet Tech - Tech'!D$10,IF($F54="BBV",'Fleet Tech - Tech'!D$11,IF($F54="CB",'Fleet Tech - Tech'!D$15,IF($F54="AE",'Fleet Tech - Tech'!D$16,IF($F54="IX",'Fleet Tech - Tech'!D$17,IF($F54="BM",'Fleet Tech - Tech'!D$13,IF($F54="AR",'Fleet Tech - Tech'!D$12,IF($F54="SSV",'Fleet Tech - Tech'!D$14,"nil"))))))))))))))),0)</f>
        <v>0</v>
      </c>
      <c r="AX54" s="12">
        <f>IF($H54=3,IF(OR($F54="DDV",$F54="DDG",$F54="DD"),'Fleet Tech - Tech'!E$3,IF($F54="CL",'Fleet Tech - Tech'!E$4,IF($F54="CA",'Fleet Tech - Tech'!E$5,IF($F54="BC",'Fleet Tech - Tech'!E$6,IF($F54="BB",'Fleet Tech - Tech'!E$7,IF($F54="CVL",'Fleet Tech - Tech'!E$8,IF($F54="CV",'Fleet Tech - Tech'!E$9,IF($F54="SS",'Fleet Tech - Tech'!E$10,IF($F54="BBV",'Fleet Tech - Tech'!E$11,IF($F54="CB",'Fleet Tech - Tech'!E$15,IF($F54="AE",'Fleet Tech - Tech'!E$16,IF($F54="IX",'Fleet Tech - Tech'!E$17,IF($F54="BM",'Fleet Tech - Tech'!E$13,IF($F54="AR",'Fleet Tech - Tech'!E$12,IF($F54="SSV",'Fleet Tech - Tech'!E$14,"nil"))))))))))))))),0)</f>
        <v>0</v>
      </c>
      <c r="AY54" s="12">
        <f>IF($H54=3,IF(OR($F54="DDV",$F54="DDG",$F54="DD"),'Fleet Tech - Tech'!F$3,IF($F54="CL",'Fleet Tech - Tech'!F$4,IF($F54="CA",'Fleet Tech - Tech'!F$5,IF($F54="BC",'Fleet Tech - Tech'!F$6,IF($F54="BB",'Fleet Tech - Tech'!F$7,IF($F54="CVL",'Fleet Tech - Tech'!F$8,IF($F54="CV",'Fleet Tech - Tech'!F$9,IF($F54="SS",'Fleet Tech - Tech'!F$10,IF($F54="BBV",'Fleet Tech - Tech'!F$11,IF($F54="CB",'Fleet Tech - Tech'!F$15,IF($F54="AE",'Fleet Tech - Tech'!F$16,IF($F54="IX",'Fleet Tech - Tech'!F$17,IF($F54="BM",'Fleet Tech - Tech'!F$13,IF($F54="AR",'Fleet Tech - Tech'!F$12,IF($F54="SSV",'Fleet Tech - Tech'!F$14,"nil"))))))))))))))),0)</f>
        <v>0</v>
      </c>
      <c r="AZ54" s="12">
        <f>IF($H54=3,IF(OR($F54="DDV",$F54="DDG",$F54="DD"),'Fleet Tech - Tech'!G$3,IF($F54="CL",'Fleet Tech - Tech'!G$4,IF($F54="CA",'Fleet Tech - Tech'!G$5,IF($F54="BC",'Fleet Tech - Tech'!G$6,IF($F54="BB",'Fleet Tech - Tech'!G$7,IF($F54="CVL",'Fleet Tech - Tech'!G$8,IF($F54="CV",'Fleet Tech - Tech'!G$9,IF($F54="SS",'Fleet Tech - Tech'!G$10,IF($F54="BBV",'Fleet Tech - Tech'!G$11,IF($F54="CB",'Fleet Tech - Tech'!G$15,IF($F54="AE",'Fleet Tech - Tech'!G$16,IF($F54="IX",'Fleet Tech - Tech'!G$17,IF($F54="BM",'Fleet Tech - Tech'!G$13,IF($F54="AR",'Fleet Tech - Tech'!G$12,IF($F54="SSV",'Fleet Tech - Tech'!G$14,"nil"))))))))))))))),0)</f>
        <v>0</v>
      </c>
      <c r="BA54" s="12">
        <f>IF($H54=3,IF(OR($F54="DDV",$F54="DDG",$F54="DD"),'Fleet Tech - Tech'!H$3,IF($F54="CL",'Fleet Tech - Tech'!H$4,IF($F54="CA",'Fleet Tech - Tech'!H$5,IF($F54="BC",'Fleet Tech - Tech'!H$6,IF($F54="BB",'Fleet Tech - Tech'!H$7,IF($F54="CVL",'Fleet Tech - Tech'!H$8,IF($F54="CV",'Fleet Tech - Tech'!H$9,IF($F54="SS",'Fleet Tech - Tech'!H$10,IF($F54="BBV",'Fleet Tech - Tech'!H$11,IF($F54="CB",'Fleet Tech - Tech'!H$15,IF($F54="AE",'Fleet Tech - Tech'!H$16,IF($F54="IX",'Fleet Tech - Tech'!H$17,IF($F54="BM",'Fleet Tech - Tech'!H$13,IF($F54="AR",'Fleet Tech - Tech'!H$12,IF($F54="SSV",'Fleet Tech - Tech'!H$14,"nil"))))))))))))))),0)</f>
        <v>10</v>
      </c>
      <c r="BB54" s="12">
        <f>IF($H54=3,IF(OR($F54="DDV",$F54="DDG",$F54="DD"),'Fleet Tech - Tech'!I$3,IF($F54="CL",'Fleet Tech - Tech'!I$4,IF($F54="CA",'Fleet Tech - Tech'!I$5,IF($F54="BC",'Fleet Tech - Tech'!I$6,IF($F54="BB",'Fleet Tech - Tech'!I$7,IF($F54="CVL",'Fleet Tech - Tech'!I$8,IF($F54="CV",'Fleet Tech - Tech'!I$9,IF($F54="SS",'Fleet Tech - Tech'!I$10,IF($F54="BBV",'Fleet Tech - Tech'!I$11,IF($F54="CB",'Fleet Tech - Tech'!I$15,IF($F54="AE",'Fleet Tech - Tech'!I$16,IF($F54="IX",'Fleet Tech - Tech'!I$17,IF($F54="BM",'Fleet Tech - Tech'!I$13,IF($F54="AR",'Fleet Tech - Tech'!I$12,IF($F54="SSV",'Fleet Tech - Tech'!I$14,"nil"))))))))))))))),0)</f>
        <v>0</v>
      </c>
      <c r="BC54" s="12">
        <f>IF($H54=3,IF(OR($F54="DDV",$F54="DDG",$F54="DD"),'Fleet Tech - Tech'!J$3,IF($F54="CL",'Fleet Tech - Tech'!J$4,IF($F54="CA",'Fleet Tech - Tech'!J$5,IF($F54="BC",'Fleet Tech - Tech'!J$6,IF($F54="BB",'Fleet Tech - Tech'!J$7,IF($F54="CVL",'Fleet Tech - Tech'!J$8,IF($F54="CV",'Fleet Tech - Tech'!J$9,IF($F54="SS",'Fleet Tech - Tech'!J$10,IF($F54="BBV",'Fleet Tech - Tech'!J$11,IF($F54="CB",'Fleet Tech - Tech'!J$15,IF($F54="AE",'Fleet Tech - Tech'!J$16,IF($F54="IX",'Fleet Tech - Tech'!J$17,IF($F54="BM",'Fleet Tech - Tech'!J$13,IF($F54="AR",'Fleet Tech - Tech'!J$12,IF($F54="SSV",'Fleet Tech - Tech'!J$14,"nil"))))))))))))))),0)</f>
        <v>0</v>
      </c>
      <c r="BD54" s="12">
        <f>IF($H54=3,IF(OR($F54="DDV",$F54="DDG",$F54="DD"),'Fleet Tech - Tech'!K$3,IF($F54="CL",'Fleet Tech - Tech'!K$4,IF($F54="CA",'Fleet Tech - Tech'!K$5,IF($F54="BC",'Fleet Tech - Tech'!K$6,IF($F54="BB",'Fleet Tech - Tech'!K$7,IF($F54="CVL",'Fleet Tech - Tech'!K$8,IF($F54="CV",'Fleet Tech - Tech'!K$9,IF($F54="SS",'Fleet Tech - Tech'!K$10,IF($F54="BBV",'Fleet Tech - Tech'!K$11,IF($F54="CB",'Fleet Tech - Tech'!K$15,IF($F54="AE",'Fleet Tech - Tech'!K$16,IF($F54="IX",'Fleet Tech - Tech'!K$17,IF($F54="BM",'Fleet Tech - Tech'!K$13,IF($F54="AR",'Fleet Tech - Tech'!K$12,IF($F54="SSV",'Fleet Tech - Tech'!K$14,"nil"))))))))))))))),0)</f>
        <v>0</v>
      </c>
      <c r="BE54" s="12">
        <f>IF($H54=3,IF(OR($F54="DDV",$F54="DDG",$F54="DD"),'Fleet Tech - Tech'!L$3,IF($F54="CL",'Fleet Tech - Tech'!L$4,IF($F54="CA",'Fleet Tech - Tech'!L$5,IF($F54="BC",'Fleet Tech - Tech'!L$6,IF($F54="BB",'Fleet Tech - Tech'!L$7,IF($F54="CVL",'Fleet Tech - Tech'!L$8,IF($F54="CV",'Fleet Tech - Tech'!L$9,IF($F54="SS",'Fleet Tech - Tech'!L$10,IF($F54="BBV",'Fleet Tech - Tech'!L$11,IF($F54="CB",'Fleet Tech - Tech'!L$15,IF($F54="AE",'Fleet Tech - Tech'!L$16,IF($F54="IX",'Fleet Tech - Tech'!L$17,IF($F54="BM",'Fleet Tech - Tech'!L$13,IF($F54="AR",'Fleet Tech - Tech'!L$12,IF($F54="SSV",'Fleet Tech - Tech'!L$14,"nil"))))))))))))))),0)</f>
        <v>4</v>
      </c>
      <c r="BF54" s="12">
        <f>IF($H54=3,IF(OR($F54="DDV",$F54="DDG",$F54="DD"),'Fleet Tech - Tech'!M$3,IF($F54="CL",'Fleet Tech - Tech'!M$4,IF($F54="CA",'Fleet Tech - Tech'!M$5,IF($F54="BC",'Fleet Tech - Tech'!M$6,IF($F54="BB",'Fleet Tech - Tech'!M$7,IF($F54="CVL",'Fleet Tech - Tech'!M$8,IF($F54="CV",'Fleet Tech - Tech'!M$9,IF($F54="SS",'Fleet Tech - Tech'!M$10,IF($F54="BBV",'Fleet Tech - Tech'!M$11,IF($F54="CB",'Fleet Tech - Tech'!M$15,IF($F54="AE",'Fleet Tech - Tech'!M$16,IF($F54="IX",'Fleet Tech - Tech'!M$17,IF($F54="BM",'Fleet Tech - Tech'!M$13,IF($F54="AR",'Fleet Tech - Tech'!M$12,IF($F54="SSV",'Fleet Tech - Tech'!M$14,"nil"))))))))))))))),0)</f>
        <v>0</v>
      </c>
      <c r="BG54" s="12">
        <f>IF($H54=3,IF(OR($F54="DDV",$F54="DDG",$F54="DD"),'Fleet Tech - Tech'!N$3,IF($F54="CL",'Fleet Tech - Tech'!N$4,IF($F54="CA",'Fleet Tech - Tech'!N$5,IF($F54="BC",'Fleet Tech - Tech'!N$6,IF($F54="BB",'Fleet Tech - Tech'!N$7,IF($F54="CVL",'Fleet Tech - Tech'!N$8,IF($F54="CV",'Fleet Tech - Tech'!N$9,IF($F54="SS",'Fleet Tech - Tech'!N$10,IF($F54="BBV",'Fleet Tech - Tech'!N$11,IF($F54="CB",'Fleet Tech - Tech'!N$15,IF($F54="AE",'Fleet Tech - Tech'!N$16,IF($F54="IX",'Fleet Tech - Tech'!N$17,IF($F54="BM",'Fleet Tech - Tech'!N$13,IF($F54="AR",'Fleet Tech - Tech'!N$12,IF($F54="SSV",'Fleet Tech - Tech'!N$14,"nil"))))))))))))))),0)</f>
        <v>2</v>
      </c>
      <c r="BH54" s="28"/>
      <c r="BI54" s="12">
        <v>4686</v>
      </c>
      <c r="BJ54" s="28"/>
      <c r="BK54" s="12">
        <v>255</v>
      </c>
      <c r="BL54" s="28"/>
      <c r="BM54" s="12">
        <v>93</v>
      </c>
      <c r="BN54" s="28"/>
      <c r="BO54" s="12">
        <v>281</v>
      </c>
      <c r="BP54" s="28"/>
      <c r="BQ54" s="12">
        <v>32</v>
      </c>
      <c r="BR54" s="12">
        <v>12</v>
      </c>
      <c r="BS54" s="12">
        <v>75</v>
      </c>
      <c r="BT54" s="12">
        <v>44</v>
      </c>
      <c r="BU54" s="12">
        <v>78</v>
      </c>
      <c r="BV54" s="12">
        <v>335</v>
      </c>
      <c r="BW54" s="28"/>
      <c r="BX54" s="12">
        <v>1</v>
      </c>
      <c r="BY54" s="12">
        <v>0</v>
      </c>
      <c r="BZ54" s="12">
        <v>0</v>
      </c>
      <c r="CA54" s="12">
        <v>0</v>
      </c>
      <c r="CB54" s="12">
        <v>0</v>
      </c>
      <c r="CC54" s="12">
        <v>0</v>
      </c>
      <c r="CD54" s="12">
        <v>-1</v>
      </c>
      <c r="CE54" s="12">
        <v>-1</v>
      </c>
      <c r="CF54" s="12">
        <v>-1</v>
      </c>
      <c r="CG54" s="12">
        <v>-1</v>
      </c>
      <c r="CH54" s="12">
        <v>-1</v>
      </c>
      <c r="CI54" s="12">
        <v>-1</v>
      </c>
      <c r="CJ54" s="47"/>
      <c r="CK54" s="48">
        <f>IF(BX54=5,320,IF(BX54=4,195,IF(BX54=3,132,IF(BX54=2,90,IF(BX54=1,58,IF(BX54=-1,0,35))))))</f>
        <v>58</v>
      </c>
      <c r="CL54" s="48">
        <f>IF(BX54=5,20,IF(BX54=4,15,IF(BX54=3,12,IF(BX54=2,10,IF(BX54=1,8,IF(BX54=-1,0,5))))))</f>
        <v>8</v>
      </c>
      <c r="CM54" s="48">
        <f>IF(BZ54=5,320,IF(BZ54=4,195,IF(BZ54=3,132,IF(BZ54=2,90,IF(BZ54=1,58,IF(BZ54=-1,0,35))))))</f>
        <v>35</v>
      </c>
      <c r="CN54" s="48">
        <f>IF(BZ54=5,20,IF(BZ54=4,15,IF(BZ54=3,12,IF(BZ54=2,10,IF(BZ54=1,8,IF(BZ54=-1,0,5))))))</f>
        <v>5</v>
      </c>
      <c r="CO54" s="48">
        <f>IF(CB54=5,320,IF(CB54=4,195,IF(CB54=3,132,IF(CB54=2,90,IF(CB54=1,58,IF(CB54=-1,0,35))))))</f>
        <v>35</v>
      </c>
      <c r="CP54" s="48">
        <f>IF(CB54=5,20,IF(CB54=4,15,IF(CB54=3,12,IF(CB54=2,10,IF(CB54=1,8,IF(CB54=-1,0,5))))))</f>
        <v>5</v>
      </c>
      <c r="CQ54" s="48">
        <f>IF(CD54=5,320,IF(CD54=4,195,IF(CD54=3,132,IF(CD54=2,90,IF(CD54=1,58,IF(CD54=-1,0,35))))))</f>
        <v>0</v>
      </c>
      <c r="CR54" s="48">
        <f>IF(CD54=5,20,IF(CD54=4,15,IF(CD54=3,12,IF(CD54=2,10,IF(CD54=1,8,IF(CD54=-1,0,5))))))</f>
        <v>0</v>
      </c>
      <c r="CS54" s="48">
        <f>IF(CF54=5,320,IF(CF54=4,195,IF(CF54=3,132,IF(CF54=2,90,IF(CF54=1,58,IF(CF54=-1,0,35))))))</f>
        <v>0</v>
      </c>
      <c r="CT54" s="48">
        <f>IF(CF54=5,20,IF(CF54=4,15,IF(CF54=3,12,IF(CF54=2,10,IF(CF54=1,8,IF(CF54=-1,0,5))))))</f>
        <v>0</v>
      </c>
      <c r="CU54" s="48">
        <f>IF(CH54=5,320,IF(CH54=4,195,IF(CH54=3,132,IF(CH54=2,90,IF(CH54=1,58,IF(CH54=-1,0,35))))))</f>
        <v>0</v>
      </c>
      <c r="CV54" s="48">
        <f>IF(CH54=5,20,IF(CH54=4,15,IF(CH54=3,12,IF(CH54=2,10,IF(CH54=1,8,IF(CH54=-1,0,5))))))</f>
        <v>0</v>
      </c>
      <c r="CW54" s="48">
        <f>IF(BY54&gt;10,(BY54/10)-ROUNDDOWN(BY54/10,0),0)+IF(CA54&gt;10,(CA54/10)-ROUNDDOWN(CA54/10,0),0)+IF(CC54&gt;10,(CC54/10)-ROUNDDOWN(CC54/10,0),0)+IF(CE54&gt;10,(CE54/10)-ROUNDDOWN(CE54/10,0),0)+IF(CG54&gt;10,(CG54/10)-ROUNDDOWN(CG54/10,0),0)+IF(CI54&gt;10,(CI54/10)-ROUNDDOWN(CI54/10,0),0)</f>
        <v>0</v>
      </c>
      <c r="CX54" s="48">
        <f>1+(CW54/10)</f>
        <v>1</v>
      </c>
    </row>
    <row r="55" ht="20.05" customHeight="1">
      <c r="A55" t="s" s="43">
        <v>333</v>
      </c>
      <c r="B55" s="49"/>
      <c r="C55" t="s" s="45">
        <v>279</v>
      </c>
      <c r="D55" s="13">
        <v>7</v>
      </c>
      <c r="E55" t="s" s="15">
        <v>232</v>
      </c>
      <c r="F55" t="s" s="15">
        <v>233</v>
      </c>
      <c r="G55" t="s" s="15">
        <v>282</v>
      </c>
      <c r="H55" s="12">
        <v>2</v>
      </c>
      <c r="I55" t="s" s="15">
        <v>277</v>
      </c>
      <c r="J55" s="12">
        <v>75</v>
      </c>
      <c r="K55" t="s" s="14">
        <v>236</v>
      </c>
      <c r="L55" t="s" s="15">
        <v>265</v>
      </c>
      <c r="M55" t="s" s="15">
        <v>27</v>
      </c>
      <c r="N55" s="46">
        <f>ROUND((SUM(AA55,T55:Y55,AC55:AE55,Z55*10)-AB55*15)*(IF(K55="Heavy",0.15,IF(K55="Medium",0,IF(K55="Light",-0.15,10)))+1),0)</f>
        <v>0</v>
      </c>
      <c r="O55" s="50"/>
      <c r="P55" s="46">
        <f>ROUNDDOWN((BI55+AU55+AG55)/5,0)+(BJ55+AV55+AH55)+(BN55+AZ55+AL55)+(BO55+BA55+AM55)+(BK55+AW55+AI55)+(BS55+BE55+AQ55)+(BL55+AX55+AJ55)+(BQ55+BC55+AO55)+(2*((BT55+BF55+AR55)+(BU55+BG55+AS55)))+(CK55+CM55+CO55+CQ55+CS55+CU55)+(CL55*BY55)+(CN55*CA55)+(CP55+CC55)+(CR55+CE55)+(CT55+CG55)+(CV55+CI55)+BV55</f>
        <v>-4</v>
      </c>
      <c r="Q55" s="46">
        <f>ROUNDDOWN(((S55/5)+T55+X55+Y55+U55+AC55+V55+AA55+(2*(AD55+AE55))+CK55+CM55+CO55+CQ55+CS55+CU55+(CL55*BX55)+(CN55*BZ55)+(CP55*CB55)+(CR55*CD55)+(CT55*CF55)+(CV55*CH55))*CX55,0)</f>
        <v>0</v>
      </c>
      <c r="R55" s="46">
        <f>ROUNDDOWN(AVERAGE(P55:Q55),0)</f>
        <v>-2</v>
      </c>
      <c r="S55" s="12">
        <f>AG55+AU55+BI55</f>
        <v>0</v>
      </c>
      <c r="T55" s="12">
        <f>AH55+AV55+BJ55</f>
        <v>0</v>
      </c>
      <c r="U55" s="12">
        <f>AI55+AW55+BK55</f>
        <v>0</v>
      </c>
      <c r="V55" s="12">
        <f>AJ55+AX55+BL55</f>
        <v>0</v>
      </c>
      <c r="W55" s="12">
        <f>AK55+AY55+BM55</f>
        <v>0</v>
      </c>
      <c r="X55" s="12">
        <f>AL55+AZ55+BN55</f>
        <v>0</v>
      </c>
      <c r="Y55" s="12">
        <f>AM55+BA55+BO55</f>
        <v>0</v>
      </c>
      <c r="Z55" s="12">
        <f>AN55+BB55+BP55</f>
        <v>0</v>
      </c>
      <c r="AA55" s="12">
        <f>AO55+BC55+BQ55</f>
        <v>0</v>
      </c>
      <c r="AB55" s="12">
        <f>AP55+BD55+BR55</f>
        <v>0</v>
      </c>
      <c r="AC55" s="12">
        <f>AQ55+BE55+BS55</f>
        <v>0</v>
      </c>
      <c r="AD55" s="12">
        <f>AR55+BF55+BT55</f>
        <v>0</v>
      </c>
      <c r="AE55" s="12">
        <f>AS55+BG55+BU55</f>
        <v>0</v>
      </c>
      <c r="AF55" s="28"/>
      <c r="AG55" s="28"/>
      <c r="AH55" s="28"/>
      <c r="AI55" s="28"/>
      <c r="AJ55" s="28"/>
      <c r="AK55" s="28"/>
      <c r="AL55" s="28"/>
      <c r="AM55" s="28"/>
      <c r="AN55" s="28"/>
      <c r="AO55" s="28"/>
      <c r="AP55" s="28"/>
      <c r="AQ55" s="28"/>
      <c r="AR55" s="28"/>
      <c r="AS55" s="28"/>
      <c r="AT55" s="28"/>
      <c r="AU55" s="12">
        <f>IF($H55=3,IF(OR($F55="DDV",$F55="DDG",$F55="DD"),'Fleet Tech - Tech'!B$3,IF($F55="CL",'Fleet Tech - Tech'!B$4,IF($F55="CA",'Fleet Tech - Tech'!B$5,IF($F55="BC",'Fleet Tech - Tech'!B$6,IF($F55="BB",'Fleet Tech - Tech'!B$7,IF($F55="CVL",'Fleet Tech - Tech'!B$8,IF($F55="CV",'Fleet Tech - Tech'!B$9,IF($F55="SS",'Fleet Tech - Tech'!B$10,IF($F55="BBV",'Fleet Tech - Tech'!B$11,IF($F55="CB",'Fleet Tech - Tech'!B$15,IF($F55="AE",'Fleet Tech - Tech'!B$16,IF($F55="IX",'Fleet Tech - Tech'!B$17,IF($F55="BM",'Fleet Tech - Tech'!B$13,IF($F55="AR",'Fleet Tech - Tech'!B$12,IF($F55="SSV",'Fleet Tech - Tech'!B$14,"nil"))))))))))))))),0)</f>
        <v>0</v>
      </c>
      <c r="AV55" s="12">
        <f>IF($H55=3,IF(OR($F55="DDV",$F55="DDG",$F55="DD"),'Fleet Tech - Tech'!C$3,IF($F55="CL",'Fleet Tech - Tech'!C$4,IF($F55="CA",'Fleet Tech - Tech'!C$5,IF($F55="BC",'Fleet Tech - Tech'!C$6,IF($F55="BB",'Fleet Tech - Tech'!C$7,IF($F55="CVL",'Fleet Tech - Tech'!C$8,IF($F55="CV",'Fleet Tech - Tech'!C$9,IF($F55="SS",'Fleet Tech - Tech'!C$10,IF($F55="BBV",'Fleet Tech - Tech'!C$11,IF($F55="CB",'Fleet Tech - Tech'!C$15,IF($F55="AE",'Fleet Tech - Tech'!C$16,IF($F55="IX",'Fleet Tech - Tech'!C$17,IF($F55="BM",'Fleet Tech - Tech'!C$13,IF($F55="AR",'Fleet Tech - Tech'!C$12,IF($F55="SSV",'Fleet Tech - Tech'!C$14,"nil"))))))))))))))),0)</f>
        <v>0</v>
      </c>
      <c r="AW55" s="12">
        <f>IF($H55=3,IF(OR($F55="DDV",$F55="DDG",$F55="DD"),'Fleet Tech - Tech'!D$3,IF($F55="CL",'Fleet Tech - Tech'!D$4,IF($F55="CA",'Fleet Tech - Tech'!D$5,IF($F55="BC",'Fleet Tech - Tech'!D$6,IF($F55="BB",'Fleet Tech - Tech'!D$7,IF($F55="CVL",'Fleet Tech - Tech'!D$8,IF($F55="CV",'Fleet Tech - Tech'!D$9,IF($F55="SS",'Fleet Tech - Tech'!D$10,IF($F55="BBV",'Fleet Tech - Tech'!D$11,IF($F55="CB",'Fleet Tech - Tech'!D$15,IF($F55="AE",'Fleet Tech - Tech'!D$16,IF($F55="IX",'Fleet Tech - Tech'!D$17,IF($F55="BM",'Fleet Tech - Tech'!D$13,IF($F55="AR",'Fleet Tech - Tech'!D$12,IF($F55="SSV",'Fleet Tech - Tech'!D$14,"nil"))))))))))))))),0)</f>
        <v>0</v>
      </c>
      <c r="AX55" s="12">
        <f>IF($H55=3,IF(OR($F55="DDV",$F55="DDG",$F55="DD"),'Fleet Tech - Tech'!E$3,IF($F55="CL",'Fleet Tech - Tech'!E$4,IF($F55="CA",'Fleet Tech - Tech'!E$5,IF($F55="BC",'Fleet Tech - Tech'!E$6,IF($F55="BB",'Fleet Tech - Tech'!E$7,IF($F55="CVL",'Fleet Tech - Tech'!E$8,IF($F55="CV",'Fleet Tech - Tech'!E$9,IF($F55="SS",'Fleet Tech - Tech'!E$10,IF($F55="BBV",'Fleet Tech - Tech'!E$11,IF($F55="CB",'Fleet Tech - Tech'!E$15,IF($F55="AE",'Fleet Tech - Tech'!E$16,IF($F55="IX",'Fleet Tech - Tech'!E$17,IF($F55="BM",'Fleet Tech - Tech'!E$13,IF($F55="AR",'Fleet Tech - Tech'!E$12,IF($F55="SSV",'Fleet Tech - Tech'!E$14,"nil"))))))))))))))),0)</f>
        <v>0</v>
      </c>
      <c r="AY55" s="12">
        <f>IF($H55=3,IF(OR($F55="DDV",$F55="DDG",$F55="DD"),'Fleet Tech - Tech'!F$3,IF($F55="CL",'Fleet Tech - Tech'!F$4,IF($F55="CA",'Fleet Tech - Tech'!F$5,IF($F55="BC",'Fleet Tech - Tech'!F$6,IF($F55="BB",'Fleet Tech - Tech'!F$7,IF($F55="CVL",'Fleet Tech - Tech'!F$8,IF($F55="CV",'Fleet Tech - Tech'!F$9,IF($F55="SS",'Fleet Tech - Tech'!F$10,IF($F55="BBV",'Fleet Tech - Tech'!F$11,IF($F55="CB",'Fleet Tech - Tech'!F$15,IF($F55="AE",'Fleet Tech - Tech'!F$16,IF($F55="IX",'Fleet Tech - Tech'!F$17,IF($F55="BM",'Fleet Tech - Tech'!F$13,IF($F55="AR",'Fleet Tech - Tech'!F$12,IF($F55="SSV",'Fleet Tech - Tech'!F$14,"nil"))))))))))))))),0)</f>
        <v>0</v>
      </c>
      <c r="AZ55" s="12">
        <f>IF($H55=3,IF(OR($F55="DDV",$F55="DDG",$F55="DD"),'Fleet Tech - Tech'!G$3,IF($F55="CL",'Fleet Tech - Tech'!G$4,IF($F55="CA",'Fleet Tech - Tech'!G$5,IF($F55="BC",'Fleet Tech - Tech'!G$6,IF($F55="BB",'Fleet Tech - Tech'!G$7,IF($F55="CVL",'Fleet Tech - Tech'!G$8,IF($F55="CV",'Fleet Tech - Tech'!G$9,IF($F55="SS",'Fleet Tech - Tech'!G$10,IF($F55="BBV",'Fleet Tech - Tech'!G$11,IF($F55="CB",'Fleet Tech - Tech'!G$15,IF($F55="AE",'Fleet Tech - Tech'!G$16,IF($F55="IX",'Fleet Tech - Tech'!G$17,IF($F55="BM",'Fleet Tech - Tech'!G$13,IF($F55="AR",'Fleet Tech - Tech'!G$12,IF($F55="SSV",'Fleet Tech - Tech'!G$14,"nil"))))))))))))))),0)</f>
        <v>0</v>
      </c>
      <c r="BA55" s="12">
        <f>IF($H55=3,IF(OR($F55="DDV",$F55="DDG",$F55="DD"),'Fleet Tech - Tech'!H$3,IF($F55="CL",'Fleet Tech - Tech'!H$4,IF($F55="CA",'Fleet Tech - Tech'!H$5,IF($F55="BC",'Fleet Tech - Tech'!H$6,IF($F55="BB",'Fleet Tech - Tech'!H$7,IF($F55="CVL",'Fleet Tech - Tech'!H$8,IF($F55="CV",'Fleet Tech - Tech'!H$9,IF($F55="SS",'Fleet Tech - Tech'!H$10,IF($F55="BBV",'Fleet Tech - Tech'!H$11,IF($F55="CB",'Fleet Tech - Tech'!H$15,IF($F55="AE",'Fleet Tech - Tech'!H$16,IF($F55="IX",'Fleet Tech - Tech'!H$17,IF($F55="BM",'Fleet Tech - Tech'!H$13,IF($F55="AR",'Fleet Tech - Tech'!H$12,IF($F55="SSV",'Fleet Tech - Tech'!H$14,"nil"))))))))))))))),0)</f>
        <v>0</v>
      </c>
      <c r="BB55" s="12">
        <f>IF($H55=3,IF(OR($F55="DDV",$F55="DDG",$F55="DD"),'Fleet Tech - Tech'!I$3,IF($F55="CL",'Fleet Tech - Tech'!I$4,IF($F55="CA",'Fleet Tech - Tech'!I$5,IF($F55="BC",'Fleet Tech - Tech'!I$6,IF($F55="BB",'Fleet Tech - Tech'!I$7,IF($F55="CVL",'Fleet Tech - Tech'!I$8,IF($F55="CV",'Fleet Tech - Tech'!I$9,IF($F55="SS",'Fleet Tech - Tech'!I$10,IF($F55="BBV",'Fleet Tech - Tech'!I$11,IF($F55="CB",'Fleet Tech - Tech'!I$15,IF($F55="AE",'Fleet Tech - Tech'!I$16,IF($F55="IX",'Fleet Tech - Tech'!I$17,IF($F55="BM",'Fleet Tech - Tech'!I$13,IF($F55="AR",'Fleet Tech - Tech'!I$12,IF($F55="SSV",'Fleet Tech - Tech'!I$14,"nil"))))))))))))))),0)</f>
        <v>0</v>
      </c>
      <c r="BC55" s="12">
        <f>IF($H55=3,IF(OR($F55="DDV",$F55="DDG",$F55="DD"),'Fleet Tech - Tech'!J$3,IF($F55="CL",'Fleet Tech - Tech'!J$4,IF($F55="CA",'Fleet Tech - Tech'!J$5,IF($F55="BC",'Fleet Tech - Tech'!J$6,IF($F55="BB",'Fleet Tech - Tech'!J$7,IF($F55="CVL",'Fleet Tech - Tech'!J$8,IF($F55="CV",'Fleet Tech - Tech'!J$9,IF($F55="SS",'Fleet Tech - Tech'!J$10,IF($F55="BBV",'Fleet Tech - Tech'!J$11,IF($F55="CB",'Fleet Tech - Tech'!J$15,IF($F55="AE",'Fleet Tech - Tech'!J$16,IF($F55="IX",'Fleet Tech - Tech'!J$17,IF($F55="BM",'Fleet Tech - Tech'!J$13,IF($F55="AR",'Fleet Tech - Tech'!J$12,IF($F55="SSV",'Fleet Tech - Tech'!J$14,"nil"))))))))))))))),0)</f>
        <v>0</v>
      </c>
      <c r="BD55" s="12">
        <f>IF($H55=3,IF(OR($F55="DDV",$F55="DDG",$F55="DD"),'Fleet Tech - Tech'!K$3,IF($F55="CL",'Fleet Tech - Tech'!K$4,IF($F55="CA",'Fleet Tech - Tech'!K$5,IF($F55="BC",'Fleet Tech - Tech'!K$6,IF($F55="BB",'Fleet Tech - Tech'!K$7,IF($F55="CVL",'Fleet Tech - Tech'!K$8,IF($F55="CV",'Fleet Tech - Tech'!K$9,IF($F55="SS",'Fleet Tech - Tech'!K$10,IF($F55="BBV",'Fleet Tech - Tech'!K$11,IF($F55="CB",'Fleet Tech - Tech'!K$15,IF($F55="AE",'Fleet Tech - Tech'!K$16,IF($F55="IX",'Fleet Tech - Tech'!K$17,IF($F55="BM",'Fleet Tech - Tech'!K$13,IF($F55="AR",'Fleet Tech - Tech'!K$12,IF($F55="SSV",'Fleet Tech - Tech'!K$14,"nil"))))))))))))))),0)</f>
        <v>0</v>
      </c>
      <c r="BE55" s="12">
        <f>IF($H55=3,IF(OR($F55="DDV",$F55="DDG",$F55="DD"),'Fleet Tech - Tech'!L$3,IF($F55="CL",'Fleet Tech - Tech'!L$4,IF($F55="CA",'Fleet Tech - Tech'!L$5,IF($F55="BC",'Fleet Tech - Tech'!L$6,IF($F55="BB",'Fleet Tech - Tech'!L$7,IF($F55="CVL",'Fleet Tech - Tech'!L$8,IF($F55="CV",'Fleet Tech - Tech'!L$9,IF($F55="SS",'Fleet Tech - Tech'!L$10,IF($F55="BBV",'Fleet Tech - Tech'!L$11,IF($F55="CB",'Fleet Tech - Tech'!L$15,IF($F55="AE",'Fleet Tech - Tech'!L$16,IF($F55="IX",'Fleet Tech - Tech'!L$17,IF($F55="BM",'Fleet Tech - Tech'!L$13,IF($F55="AR",'Fleet Tech - Tech'!L$12,IF($F55="SSV",'Fleet Tech - Tech'!L$14,"nil"))))))))))))))),0)</f>
        <v>0</v>
      </c>
      <c r="BF55" s="12">
        <f>IF($H55=3,IF(OR($F55="DDV",$F55="DDG",$F55="DD"),'Fleet Tech - Tech'!M$3,IF($F55="CL",'Fleet Tech - Tech'!M$4,IF($F55="CA",'Fleet Tech - Tech'!M$5,IF($F55="BC",'Fleet Tech - Tech'!M$6,IF($F55="BB",'Fleet Tech - Tech'!M$7,IF($F55="CVL",'Fleet Tech - Tech'!M$8,IF($F55="CV",'Fleet Tech - Tech'!M$9,IF($F55="SS",'Fleet Tech - Tech'!M$10,IF($F55="BBV",'Fleet Tech - Tech'!M$11,IF($F55="CB",'Fleet Tech - Tech'!M$15,IF($F55="AE",'Fleet Tech - Tech'!M$16,IF($F55="IX",'Fleet Tech - Tech'!M$17,IF($F55="BM",'Fleet Tech - Tech'!M$13,IF($F55="AR",'Fleet Tech - Tech'!M$12,IF($F55="SSV",'Fleet Tech - Tech'!M$14,"nil"))))))))))))))),0)</f>
        <v>0</v>
      </c>
      <c r="BG55" s="12">
        <f>IF($H55=3,IF(OR($F55="DDV",$F55="DDG",$F55="DD"),'Fleet Tech - Tech'!N$3,IF($F55="CL",'Fleet Tech - Tech'!N$4,IF($F55="CA",'Fleet Tech - Tech'!N$5,IF($F55="BC",'Fleet Tech - Tech'!N$6,IF($F55="BB",'Fleet Tech - Tech'!N$7,IF($F55="CVL",'Fleet Tech - Tech'!N$8,IF($F55="CV",'Fleet Tech - Tech'!N$9,IF($F55="SS",'Fleet Tech - Tech'!N$10,IF($F55="BBV",'Fleet Tech - Tech'!N$11,IF($F55="CB",'Fleet Tech - Tech'!N$15,IF($F55="AE",'Fleet Tech - Tech'!N$16,IF($F55="IX",'Fleet Tech - Tech'!N$17,IF($F55="BM",'Fleet Tech - Tech'!N$13,IF($F55="AR",'Fleet Tech - Tech'!N$12,IF($F55="SSV",'Fleet Tech - Tech'!N$14,"nil"))))))))))))))),0)</f>
        <v>0</v>
      </c>
      <c r="BH55" s="28"/>
      <c r="BI55" s="28"/>
      <c r="BJ55" s="28"/>
      <c r="BK55" s="28"/>
      <c r="BL55" s="28"/>
      <c r="BM55" s="28"/>
      <c r="BN55" s="28"/>
      <c r="BO55" s="28"/>
      <c r="BP55" s="28"/>
      <c r="BQ55" s="28"/>
      <c r="BR55" s="28"/>
      <c r="BS55" s="28"/>
      <c r="BT55" s="28"/>
      <c r="BU55" s="28"/>
      <c r="BV55" s="28"/>
      <c r="BW55" s="28"/>
      <c r="BX55" s="12">
        <v>-1</v>
      </c>
      <c r="BY55" s="12">
        <v>-1</v>
      </c>
      <c r="BZ55" s="12">
        <v>-1</v>
      </c>
      <c r="CA55" s="12">
        <v>-1</v>
      </c>
      <c r="CB55" s="12">
        <v>-1</v>
      </c>
      <c r="CC55" s="12">
        <v>-1</v>
      </c>
      <c r="CD55" s="12">
        <v>-1</v>
      </c>
      <c r="CE55" s="12">
        <v>-1</v>
      </c>
      <c r="CF55" s="12">
        <v>-1</v>
      </c>
      <c r="CG55" s="12">
        <v>-1</v>
      </c>
      <c r="CH55" s="12">
        <v>-1</v>
      </c>
      <c r="CI55" s="12">
        <v>-1</v>
      </c>
      <c r="CJ55" s="47"/>
      <c r="CK55" s="48">
        <f>IF(BX55=5,320,IF(BX55=4,195,IF(BX55=3,132,IF(BX55=2,90,IF(BX55=1,58,IF(BX55=-1,0,35))))))</f>
        <v>0</v>
      </c>
      <c r="CL55" s="48">
        <f>IF(BX55=5,20,IF(BX55=4,15,IF(BX55=3,12,IF(BX55=2,10,IF(BX55=1,8,IF(BX55=-1,0,5))))))</f>
        <v>0</v>
      </c>
      <c r="CM55" s="48">
        <f>IF(BZ55=5,320,IF(BZ55=4,195,IF(BZ55=3,132,IF(BZ55=2,90,IF(BZ55=1,58,IF(BZ55=-1,0,35))))))</f>
        <v>0</v>
      </c>
      <c r="CN55" s="48">
        <f>IF(BZ55=5,20,IF(BZ55=4,15,IF(BZ55=3,12,IF(BZ55=2,10,IF(BZ55=1,8,IF(BZ55=-1,0,5))))))</f>
        <v>0</v>
      </c>
      <c r="CO55" s="48">
        <f>IF(CB55=5,320,IF(CB55=4,195,IF(CB55=3,132,IF(CB55=2,90,IF(CB55=1,58,IF(CB55=-1,0,35))))))</f>
        <v>0</v>
      </c>
      <c r="CP55" s="48">
        <f>IF(CB55=5,20,IF(CB55=4,15,IF(CB55=3,12,IF(CB55=2,10,IF(CB55=1,8,IF(CB55=-1,0,5))))))</f>
        <v>0</v>
      </c>
      <c r="CQ55" s="48">
        <f>IF(CD55=5,320,IF(CD55=4,195,IF(CD55=3,132,IF(CD55=2,90,IF(CD55=1,58,IF(CD55=-1,0,35))))))</f>
        <v>0</v>
      </c>
      <c r="CR55" s="48">
        <f>IF(CD55=5,20,IF(CD55=4,15,IF(CD55=3,12,IF(CD55=2,10,IF(CD55=1,8,IF(CD55=-1,0,5))))))</f>
        <v>0</v>
      </c>
      <c r="CS55" s="48">
        <f>IF(CF55=5,320,IF(CF55=4,195,IF(CF55=3,132,IF(CF55=2,90,IF(CF55=1,58,IF(CF55=-1,0,35))))))</f>
        <v>0</v>
      </c>
      <c r="CT55" s="48">
        <f>IF(CF55=5,20,IF(CF55=4,15,IF(CF55=3,12,IF(CF55=2,10,IF(CF55=1,8,IF(CF55=-1,0,5))))))</f>
        <v>0</v>
      </c>
      <c r="CU55" s="48">
        <f>IF(CH55=5,320,IF(CH55=4,195,IF(CH55=3,132,IF(CH55=2,90,IF(CH55=1,58,IF(CH55=-1,0,35))))))</f>
        <v>0</v>
      </c>
      <c r="CV55" s="48">
        <f>IF(CH55=5,20,IF(CH55=4,15,IF(CH55=3,12,IF(CH55=2,10,IF(CH55=1,8,IF(CH55=-1,0,5))))))</f>
        <v>0</v>
      </c>
      <c r="CW55" s="48">
        <f>IF(BY55&gt;10,(BY55/10)-ROUNDDOWN(BY55/10,0),0)+IF(CA55&gt;10,(CA55/10)-ROUNDDOWN(CA55/10,0),0)+IF(CC55&gt;10,(CC55/10)-ROUNDDOWN(CC55/10,0),0)+IF(CE55&gt;10,(CE55/10)-ROUNDDOWN(CE55/10,0),0)+IF(CG55&gt;10,(CG55/10)-ROUNDDOWN(CG55/10,0),0)+IF(CI55&gt;10,(CI55/10)-ROUNDDOWN(CI55/10,0),0)</f>
        <v>0</v>
      </c>
      <c r="CX55" s="48">
        <f>1+(CW55/10)</f>
        <v>1</v>
      </c>
    </row>
    <row r="56" ht="20.05" customHeight="1">
      <c r="A56" t="s" s="43">
        <v>334</v>
      </c>
      <c r="B56" s="49"/>
      <c r="C56" t="s" s="45">
        <v>279</v>
      </c>
      <c r="D56" s="13">
        <v>7</v>
      </c>
      <c r="E56" t="s" s="15">
        <v>240</v>
      </c>
      <c r="F56" t="s" s="15">
        <v>297</v>
      </c>
      <c r="G56" t="s" s="15">
        <v>282</v>
      </c>
      <c r="H56" s="12">
        <v>3</v>
      </c>
      <c r="I56" t="s" s="15">
        <v>277</v>
      </c>
      <c r="J56" s="12">
        <v>75</v>
      </c>
      <c r="K56" t="s" s="14">
        <v>242</v>
      </c>
      <c r="L56" t="s" s="15">
        <v>265</v>
      </c>
      <c r="M56" t="s" s="15">
        <v>22</v>
      </c>
      <c r="N56" s="46">
        <f>ROUND((SUM(AA56,T56:Y56,AC56:AE56,Z56*10)-AB56*15)*(IF(K56="Heavy",0.15,IF(K56="Medium",0,IF(K56="Light",-0.15,10)))+1),0)</f>
        <v>702</v>
      </c>
      <c r="O56" s="46">
        <v>1749</v>
      </c>
      <c r="P56" s="46">
        <f>ROUNDDOWN((BI56+AU56+AG56)/5,0)+(BJ56+AV56+AH56)+(BN56+AZ56+AL56)+(BO56+BA56+AM56)+(BK56+AW56+AI56)+(BS56+BE56+AQ56)+(BL56+AX56+AJ56)+(BQ56+BC56+AO56)+(2*((BT56+BF56+AR56)+(BU56+BG56+AS56)))+(CK56+CM56+CO56+CQ56+CS56+CU56)+(CL56*BY56)+(CN56*CA56)+(CP56+CC56)+(CR56+CE56)+(CT56+CG56)+(CV56+CI56)+BV56</f>
        <v>1739</v>
      </c>
      <c r="Q56" s="46">
        <f>ROUNDDOWN(((S56/5)+T56+X56+Y56+U56+AC56+V56+AA56+(2*(AD56+AE56))+CK56+CM56+CO56+CQ56+CS56+CU56+(CL56*BX56)+(CN56*BZ56)+(CP56*CB56)+(CR56*CD56)+(CT56*CF56)+(CV56*CH56))*CX56,0)</f>
        <v>1693</v>
      </c>
      <c r="R56" s="46">
        <f>ROUNDDOWN(AVERAGE(P56:Q56),0)</f>
        <v>1716</v>
      </c>
      <c r="S56" s="12">
        <f>AG56+AU56+BI56</f>
        <v>4069</v>
      </c>
      <c r="T56" s="12">
        <f>AH56+AV56+BJ56</f>
        <v>0</v>
      </c>
      <c r="U56" s="12">
        <f>AI56+AW56+BK56</f>
        <v>219</v>
      </c>
      <c r="V56" s="12">
        <f>AJ56+AX56+BL56</f>
        <v>106</v>
      </c>
      <c r="W56" s="12">
        <f>AK56+AY56+BM56</f>
        <v>78</v>
      </c>
      <c r="X56" s="12">
        <f>AL56+AZ56+BN56</f>
        <v>0</v>
      </c>
      <c r="Y56" s="12">
        <f>AM56+BA56+BO56</f>
        <v>210</v>
      </c>
      <c r="Z56" s="12">
        <f>AN56+BB56+BP56</f>
        <v>0</v>
      </c>
      <c r="AA56" s="12">
        <f>AO56+BC56+BQ56</f>
        <v>24</v>
      </c>
      <c r="AB56" s="12">
        <f>AP56+BD56+BR56</f>
        <v>10</v>
      </c>
      <c r="AC56" s="12">
        <f>AQ56+BE56+BS56</f>
        <v>109</v>
      </c>
      <c r="AD56" s="12">
        <f>AR56+BF56+BT56</f>
        <v>45</v>
      </c>
      <c r="AE56" s="12">
        <f>AS56+BG56+BU56</f>
        <v>61</v>
      </c>
      <c r="AF56" s="28"/>
      <c r="AG56" s="28"/>
      <c r="AH56" s="28"/>
      <c r="AI56" s="28"/>
      <c r="AJ56" s="28"/>
      <c r="AK56" s="28"/>
      <c r="AL56" s="28"/>
      <c r="AM56" s="28"/>
      <c r="AN56" s="28"/>
      <c r="AO56" s="28"/>
      <c r="AP56" s="28"/>
      <c r="AQ56" s="28"/>
      <c r="AR56" s="28"/>
      <c r="AS56" s="28"/>
      <c r="AT56" s="28"/>
      <c r="AU56" s="12">
        <f>IF($H56=3,IF(OR($F56="DDV",$F56="DDG",$F56="DD"),'Fleet Tech - Tech'!B$3,IF($F56="CL",'Fleet Tech - Tech'!B$4,IF($F56="CA",'Fleet Tech - Tech'!B$5,IF($F56="BC",'Fleet Tech - Tech'!B$6,IF($F56="BB",'Fleet Tech - Tech'!B$7,IF($F56="CVL",'Fleet Tech - Tech'!B$8,IF($F56="CV",'Fleet Tech - Tech'!B$9,IF($F56="SS",'Fleet Tech - Tech'!B$10,IF($F56="BBV",'Fleet Tech - Tech'!B$11,IF($F56="CB",'Fleet Tech - Tech'!B$15,IF($F56="AE",'Fleet Tech - Tech'!B$16,IF($F56="IX",'Fleet Tech - Tech'!B$17,IF($F56="BM",'Fleet Tech - Tech'!B$13,IF($F56="AR",'Fleet Tech - Tech'!B$12,IF($F56="SSV",'Fleet Tech - Tech'!B$14,"nil"))))))))))))))),0)</f>
        <v>49</v>
      </c>
      <c r="AV56" s="12">
        <f>IF($H56=3,IF(OR($F56="DDV",$F56="DDG",$F56="DD"),'Fleet Tech - Tech'!C$3,IF($F56="CL",'Fleet Tech - Tech'!C$4,IF($F56="CA",'Fleet Tech - Tech'!C$5,IF($F56="BC",'Fleet Tech - Tech'!C$6,IF($F56="BB",'Fleet Tech - Tech'!C$7,IF($F56="CVL",'Fleet Tech - Tech'!C$8,IF($F56="CV",'Fleet Tech - Tech'!C$9,IF($F56="SS",'Fleet Tech - Tech'!C$10,IF($F56="BBV",'Fleet Tech - Tech'!C$11,IF($F56="CB",'Fleet Tech - Tech'!C$15,IF($F56="AE",'Fleet Tech - Tech'!C$16,IF($F56="IX",'Fleet Tech - Tech'!C$17,IF($F56="BM",'Fleet Tech - Tech'!C$13,IF($F56="AR",'Fleet Tech - Tech'!C$12,IF($F56="SSV",'Fleet Tech - Tech'!C$14,"nil"))))))))))))))),0)</f>
        <v>0</v>
      </c>
      <c r="AW56" s="12">
        <f>IF($H56=3,IF(OR($F56="DDV",$F56="DDG",$F56="DD"),'Fleet Tech - Tech'!D$3,IF($F56="CL",'Fleet Tech - Tech'!D$4,IF($F56="CA",'Fleet Tech - Tech'!D$5,IF($F56="BC",'Fleet Tech - Tech'!D$6,IF($F56="BB",'Fleet Tech - Tech'!D$7,IF($F56="CVL",'Fleet Tech - Tech'!D$8,IF($F56="CV",'Fleet Tech - Tech'!D$9,IF($F56="SS",'Fleet Tech - Tech'!D$10,IF($F56="BBV",'Fleet Tech - Tech'!D$11,IF($F56="CB",'Fleet Tech - Tech'!D$15,IF($F56="AE",'Fleet Tech - Tech'!D$16,IF($F56="IX",'Fleet Tech - Tech'!D$17,IF($F56="BM",'Fleet Tech - Tech'!D$13,IF($F56="AR",'Fleet Tech - Tech'!D$12,IF($F56="SSV",'Fleet Tech - Tech'!D$14,"nil"))))))))))))))),0)</f>
        <v>0</v>
      </c>
      <c r="AX56" s="12">
        <f>IF($H56=3,IF(OR($F56="DDV",$F56="DDG",$F56="DD"),'Fleet Tech - Tech'!E$3,IF($F56="CL",'Fleet Tech - Tech'!E$4,IF($F56="CA",'Fleet Tech - Tech'!E$5,IF($F56="BC",'Fleet Tech - Tech'!E$6,IF($F56="BB",'Fleet Tech - Tech'!E$7,IF($F56="CVL",'Fleet Tech - Tech'!E$8,IF($F56="CV",'Fleet Tech - Tech'!E$9,IF($F56="SS",'Fleet Tech - Tech'!E$10,IF($F56="BBV",'Fleet Tech - Tech'!E$11,IF($F56="CB",'Fleet Tech - Tech'!E$15,IF($F56="AE",'Fleet Tech - Tech'!E$16,IF($F56="IX",'Fleet Tech - Tech'!E$17,IF($F56="BM",'Fleet Tech - Tech'!E$13,IF($F56="AR",'Fleet Tech - Tech'!E$12,IF($F56="SSV",'Fleet Tech - Tech'!E$14,"nil"))))))))))))))),0)</f>
        <v>18</v>
      </c>
      <c r="AY56" s="12">
        <f>IF($H56=3,IF(OR($F56="DDV",$F56="DDG",$F56="DD"),'Fleet Tech - Tech'!F$3,IF($F56="CL",'Fleet Tech - Tech'!F$4,IF($F56="CA",'Fleet Tech - Tech'!F$5,IF($F56="BC",'Fleet Tech - Tech'!F$6,IF($F56="BB",'Fleet Tech - Tech'!F$7,IF($F56="CVL",'Fleet Tech - Tech'!F$8,IF($F56="CV",'Fleet Tech - Tech'!F$9,IF($F56="SS",'Fleet Tech - Tech'!F$10,IF($F56="BBV",'Fleet Tech - Tech'!F$11,IF($F56="CB",'Fleet Tech - Tech'!F$15,IF($F56="AE",'Fleet Tech - Tech'!F$16,IF($F56="IX",'Fleet Tech - Tech'!F$17,IF($F56="BM",'Fleet Tech - Tech'!F$13,IF($F56="AR",'Fleet Tech - Tech'!F$12,IF($F56="SSV",'Fleet Tech - Tech'!F$14,"nil"))))))))))))))),0)</f>
        <v>0</v>
      </c>
      <c r="AZ56" s="12">
        <f>IF($H56=3,IF(OR($F56="DDV",$F56="DDG",$F56="DD"),'Fleet Tech - Tech'!G$3,IF($F56="CL",'Fleet Tech - Tech'!G$4,IF($F56="CA",'Fleet Tech - Tech'!G$5,IF($F56="BC",'Fleet Tech - Tech'!G$6,IF($F56="BB",'Fleet Tech - Tech'!G$7,IF($F56="CVL",'Fleet Tech - Tech'!G$8,IF($F56="CV",'Fleet Tech - Tech'!G$9,IF($F56="SS",'Fleet Tech - Tech'!G$10,IF($F56="BBV",'Fleet Tech - Tech'!G$11,IF($F56="CB",'Fleet Tech - Tech'!G$15,IF($F56="AE",'Fleet Tech - Tech'!G$16,IF($F56="IX",'Fleet Tech - Tech'!G$17,IF($F56="BM",'Fleet Tech - Tech'!G$13,IF($F56="AR",'Fleet Tech - Tech'!G$12,IF($F56="SSV",'Fleet Tech - Tech'!G$14,"nil"))))))))))))))),0)</f>
        <v>0</v>
      </c>
      <c r="BA56" s="12">
        <f>IF($H56=3,IF(OR($F56="DDV",$F56="DDG",$F56="DD"),'Fleet Tech - Tech'!H$3,IF($F56="CL",'Fleet Tech - Tech'!H$4,IF($F56="CA",'Fleet Tech - Tech'!H$5,IF($F56="BC",'Fleet Tech - Tech'!H$6,IF($F56="BB",'Fleet Tech - Tech'!H$7,IF($F56="CVL",'Fleet Tech - Tech'!H$8,IF($F56="CV",'Fleet Tech - Tech'!H$9,IF($F56="SS",'Fleet Tech - Tech'!H$10,IF($F56="BBV",'Fleet Tech - Tech'!H$11,IF($F56="CB",'Fleet Tech - Tech'!H$15,IF($F56="AE",'Fleet Tech - Tech'!H$16,IF($F56="IX",'Fleet Tech - Tech'!H$17,IF($F56="BM",'Fleet Tech - Tech'!H$13,IF($F56="AR",'Fleet Tech - Tech'!H$12,IF($F56="SSV",'Fleet Tech - Tech'!H$14,"nil"))))))))))))))),0)</f>
        <v>12</v>
      </c>
      <c r="BB56" s="12">
        <f>IF($H56=3,IF(OR($F56="DDV",$F56="DDG",$F56="DD"),'Fleet Tech - Tech'!I$3,IF($F56="CL",'Fleet Tech - Tech'!I$4,IF($F56="CA",'Fleet Tech - Tech'!I$5,IF($F56="BC",'Fleet Tech - Tech'!I$6,IF($F56="BB",'Fleet Tech - Tech'!I$7,IF($F56="CVL",'Fleet Tech - Tech'!I$8,IF($F56="CV",'Fleet Tech - Tech'!I$9,IF($F56="SS",'Fleet Tech - Tech'!I$10,IF($F56="BBV",'Fleet Tech - Tech'!I$11,IF($F56="CB",'Fleet Tech - Tech'!I$15,IF($F56="AE",'Fleet Tech - Tech'!I$16,IF($F56="IX",'Fleet Tech - Tech'!I$17,IF($F56="BM",'Fleet Tech - Tech'!I$13,IF($F56="AR",'Fleet Tech - Tech'!I$12,IF($F56="SSV",'Fleet Tech - Tech'!I$14,"nil"))))))))))))))),0)</f>
        <v>0</v>
      </c>
      <c r="BC56" s="12">
        <f>IF($H56=3,IF(OR($F56="DDV",$F56="DDG",$F56="DD"),'Fleet Tech - Tech'!J$3,IF($F56="CL",'Fleet Tech - Tech'!J$4,IF($F56="CA",'Fleet Tech - Tech'!J$5,IF($F56="BC",'Fleet Tech - Tech'!J$6,IF($F56="BB",'Fleet Tech - Tech'!J$7,IF($F56="CVL",'Fleet Tech - Tech'!J$8,IF($F56="CV",'Fleet Tech - Tech'!J$9,IF($F56="SS",'Fleet Tech - Tech'!J$10,IF($F56="BBV",'Fleet Tech - Tech'!J$11,IF($F56="CB",'Fleet Tech - Tech'!J$15,IF($F56="AE",'Fleet Tech - Tech'!J$16,IF($F56="IX",'Fleet Tech - Tech'!J$17,IF($F56="BM",'Fleet Tech - Tech'!J$13,IF($F56="AR",'Fleet Tech - Tech'!J$12,IF($F56="SSV",'Fleet Tech - Tech'!J$14,"nil"))))))))))))))),0)</f>
        <v>0</v>
      </c>
      <c r="BD56" s="12">
        <f>IF($H56=3,IF(OR($F56="DDV",$F56="DDG",$F56="DD"),'Fleet Tech - Tech'!K$3,IF($F56="CL",'Fleet Tech - Tech'!K$4,IF($F56="CA",'Fleet Tech - Tech'!K$5,IF($F56="BC",'Fleet Tech - Tech'!K$6,IF($F56="BB",'Fleet Tech - Tech'!K$7,IF($F56="CVL",'Fleet Tech - Tech'!K$8,IF($F56="CV",'Fleet Tech - Tech'!K$9,IF($F56="SS",'Fleet Tech - Tech'!K$10,IF($F56="BBV",'Fleet Tech - Tech'!K$11,IF($F56="CB",'Fleet Tech - Tech'!K$15,IF($F56="AE",'Fleet Tech - Tech'!K$16,IF($F56="IX",'Fleet Tech - Tech'!K$17,IF($F56="BM",'Fleet Tech - Tech'!K$13,IF($F56="AR",'Fleet Tech - Tech'!K$12,IF($F56="SSV",'Fleet Tech - Tech'!K$14,"nil"))))))))))))))),0)</f>
        <v>0</v>
      </c>
      <c r="BE56" s="12">
        <f>IF($H56=3,IF(OR($F56="DDV",$F56="DDG",$F56="DD"),'Fleet Tech - Tech'!L$3,IF($F56="CL",'Fleet Tech - Tech'!L$4,IF($F56="CA",'Fleet Tech - Tech'!L$5,IF($F56="BC",'Fleet Tech - Tech'!L$6,IF($F56="BB",'Fleet Tech - Tech'!L$7,IF($F56="CVL",'Fleet Tech - Tech'!L$8,IF($F56="CV",'Fleet Tech - Tech'!L$9,IF($F56="SS",'Fleet Tech - Tech'!L$10,IF($F56="BBV",'Fleet Tech - Tech'!L$11,IF($F56="CB",'Fleet Tech - Tech'!L$15,IF($F56="AE",'Fleet Tech - Tech'!L$16,IF($F56="IX",'Fleet Tech - Tech'!L$17,IF($F56="BM",'Fleet Tech - Tech'!L$13,IF($F56="AR",'Fleet Tech - Tech'!L$12,IF($F56="SSV",'Fleet Tech - Tech'!L$14,"nil"))))))))))))))),0)</f>
        <v>4</v>
      </c>
      <c r="BF56" s="12">
        <f>IF($H56=3,IF(OR($F56="DDV",$F56="DDG",$F56="DD"),'Fleet Tech - Tech'!M$3,IF($F56="CL",'Fleet Tech - Tech'!M$4,IF($F56="CA",'Fleet Tech - Tech'!M$5,IF($F56="BC",'Fleet Tech - Tech'!M$6,IF($F56="BB",'Fleet Tech - Tech'!M$7,IF($F56="CVL",'Fleet Tech - Tech'!M$8,IF($F56="CV",'Fleet Tech - Tech'!M$9,IF($F56="SS",'Fleet Tech - Tech'!M$10,IF($F56="BBV",'Fleet Tech - Tech'!M$11,IF($F56="CB",'Fleet Tech - Tech'!M$15,IF($F56="AE",'Fleet Tech - Tech'!M$16,IF($F56="IX",'Fleet Tech - Tech'!M$17,IF($F56="BM",'Fleet Tech - Tech'!M$13,IF($F56="AR",'Fleet Tech - Tech'!M$12,IF($F56="SSV",'Fleet Tech - Tech'!M$14,"nil"))))))))))))))),0)</f>
        <v>0</v>
      </c>
      <c r="BG56" s="12">
        <f>IF($H56=3,IF(OR($F56="DDV",$F56="DDG",$F56="DD"),'Fleet Tech - Tech'!N$3,IF($F56="CL",'Fleet Tech - Tech'!N$4,IF($F56="CA",'Fleet Tech - Tech'!N$5,IF($F56="BC",'Fleet Tech - Tech'!N$6,IF($F56="BB",'Fleet Tech - Tech'!N$7,IF($F56="CVL",'Fleet Tech - Tech'!N$8,IF($F56="CV",'Fleet Tech - Tech'!N$9,IF($F56="SS",'Fleet Tech - Tech'!N$10,IF($F56="BBV",'Fleet Tech - Tech'!N$11,IF($F56="CB",'Fleet Tech - Tech'!N$15,IF($F56="AE",'Fleet Tech - Tech'!N$16,IF($F56="IX",'Fleet Tech - Tech'!N$17,IF($F56="BM",'Fleet Tech - Tech'!N$13,IF($F56="AR",'Fleet Tech - Tech'!N$12,IF($F56="SSV",'Fleet Tech - Tech'!N$14,"nil"))))))))))))))),0)</f>
        <v>2</v>
      </c>
      <c r="BH56" s="28"/>
      <c r="BI56" s="12">
        <v>4020</v>
      </c>
      <c r="BJ56" s="28"/>
      <c r="BK56" s="12">
        <v>219</v>
      </c>
      <c r="BL56" s="12">
        <v>88</v>
      </c>
      <c r="BM56" s="12">
        <v>78</v>
      </c>
      <c r="BN56" s="28"/>
      <c r="BO56" s="12">
        <v>198</v>
      </c>
      <c r="BP56" s="28"/>
      <c r="BQ56" s="12">
        <v>24</v>
      </c>
      <c r="BR56" s="12">
        <v>10</v>
      </c>
      <c r="BS56" s="12">
        <v>105</v>
      </c>
      <c r="BT56" s="12">
        <v>45</v>
      </c>
      <c r="BU56" s="12">
        <v>59</v>
      </c>
      <c r="BV56" s="12">
        <v>50</v>
      </c>
      <c r="BW56" s="28"/>
      <c r="BX56" s="12">
        <v>-1</v>
      </c>
      <c r="BY56" s="12">
        <v>-1</v>
      </c>
      <c r="BZ56" s="12">
        <v>-1</v>
      </c>
      <c r="CA56" s="12">
        <v>-1</v>
      </c>
      <c r="CB56" s="12">
        <v>-1</v>
      </c>
      <c r="CC56" s="12">
        <v>-1</v>
      </c>
      <c r="CD56" s="12">
        <v>-1</v>
      </c>
      <c r="CE56" s="12">
        <v>-1</v>
      </c>
      <c r="CF56" s="12">
        <v>-1</v>
      </c>
      <c r="CG56" s="12">
        <v>-1</v>
      </c>
      <c r="CH56" s="12">
        <v>-1</v>
      </c>
      <c r="CI56" s="12">
        <v>-1</v>
      </c>
      <c r="CJ56" s="47"/>
      <c r="CK56" s="48">
        <f>IF(BX56=5,320,IF(BX56=4,195,IF(BX56=3,132,IF(BX56=2,90,IF(BX56=1,58,IF(BX56=-1,0,35))))))</f>
        <v>0</v>
      </c>
      <c r="CL56" s="48">
        <f>IF(BX56=5,20,IF(BX56=4,15,IF(BX56=3,12,IF(BX56=2,10,IF(BX56=1,8,IF(BX56=-1,0,5))))))</f>
        <v>0</v>
      </c>
      <c r="CM56" s="48">
        <f>IF(BZ56=5,320,IF(BZ56=4,195,IF(BZ56=3,132,IF(BZ56=2,90,IF(BZ56=1,58,IF(BZ56=-1,0,35))))))</f>
        <v>0</v>
      </c>
      <c r="CN56" s="48">
        <f>IF(BZ56=5,20,IF(BZ56=4,15,IF(BZ56=3,12,IF(BZ56=2,10,IF(BZ56=1,8,IF(BZ56=-1,0,5))))))</f>
        <v>0</v>
      </c>
      <c r="CO56" s="48">
        <f>IF(CB56=5,320,IF(CB56=4,195,IF(CB56=3,132,IF(CB56=2,90,IF(CB56=1,58,IF(CB56=-1,0,35))))))</f>
        <v>0</v>
      </c>
      <c r="CP56" s="48">
        <f>IF(CB56=5,20,IF(CB56=4,15,IF(CB56=3,12,IF(CB56=2,10,IF(CB56=1,8,IF(CB56=-1,0,5))))))</f>
        <v>0</v>
      </c>
      <c r="CQ56" s="48">
        <f>IF(CD56=5,320,IF(CD56=4,195,IF(CD56=3,132,IF(CD56=2,90,IF(CD56=1,58,IF(CD56=-1,0,35))))))</f>
        <v>0</v>
      </c>
      <c r="CR56" s="48">
        <f>IF(CD56=5,20,IF(CD56=4,15,IF(CD56=3,12,IF(CD56=2,10,IF(CD56=1,8,IF(CD56=-1,0,5))))))</f>
        <v>0</v>
      </c>
      <c r="CS56" s="48">
        <f>IF(CF56=5,320,IF(CF56=4,195,IF(CF56=3,132,IF(CF56=2,90,IF(CF56=1,58,IF(CF56=-1,0,35))))))</f>
        <v>0</v>
      </c>
      <c r="CT56" s="48">
        <f>IF(CF56=5,20,IF(CF56=4,15,IF(CF56=3,12,IF(CF56=2,10,IF(CF56=1,8,IF(CF56=-1,0,5))))))</f>
        <v>0</v>
      </c>
      <c r="CU56" s="48">
        <f>IF(CH56=5,320,IF(CH56=4,195,IF(CH56=3,132,IF(CH56=2,90,IF(CH56=1,58,IF(CH56=-1,0,35))))))</f>
        <v>0</v>
      </c>
      <c r="CV56" s="48">
        <f>IF(CH56=5,20,IF(CH56=4,15,IF(CH56=3,12,IF(CH56=2,10,IF(CH56=1,8,IF(CH56=-1,0,5))))))</f>
        <v>0</v>
      </c>
      <c r="CW56" s="48">
        <f>IF(BY56&gt;10,(BY56/10)-ROUNDDOWN(BY56/10,0),0)+IF(CA56&gt;10,(CA56/10)-ROUNDDOWN(CA56/10,0),0)+IF(CC56&gt;10,(CC56/10)-ROUNDDOWN(CC56/10,0),0)+IF(CE56&gt;10,(CE56/10)-ROUNDDOWN(CE56/10,0),0)+IF(CG56&gt;10,(CG56/10)-ROUNDDOWN(CG56/10,0),0)+IF(CI56&gt;10,(CI56/10)-ROUNDDOWN(CI56/10,0),0)</f>
        <v>0</v>
      </c>
      <c r="CX56" s="48">
        <f>1+(CW56/10)</f>
        <v>1</v>
      </c>
    </row>
    <row r="57" ht="20.05" customHeight="1">
      <c r="A57" t="s" s="43">
        <v>335</v>
      </c>
      <c r="B57" s="49"/>
      <c r="C57" t="s" s="45">
        <v>279</v>
      </c>
      <c r="D57" s="13">
        <v>7</v>
      </c>
      <c r="E57" t="s" s="15">
        <v>232</v>
      </c>
      <c r="F57" t="s" s="15">
        <v>284</v>
      </c>
      <c r="G57" t="s" s="15">
        <v>282</v>
      </c>
      <c r="H57" s="12">
        <v>3</v>
      </c>
      <c r="I57" t="s" s="15">
        <v>300</v>
      </c>
      <c r="J57" s="12">
        <v>74</v>
      </c>
      <c r="K57" t="s" s="14">
        <v>236</v>
      </c>
      <c r="L57" t="s" s="15">
        <v>237</v>
      </c>
      <c r="M57" t="s" s="15">
        <v>19</v>
      </c>
      <c r="N57" s="46">
        <f>ROUND((SUM(AA57,T57:Y57,AC57:AE57,Z57*10)-AB57*15)*(IF(K57="Heavy",0.15,IF(K57="Medium",0,IF(K57="Light",-0.15,10)))+1),0)</f>
        <v>20</v>
      </c>
      <c r="O57" s="50"/>
      <c r="P57" s="46">
        <f>ROUNDDOWN((BI57+AU57+AG57)/5,0)+(BJ57+AV57+AH57)+(BN57+AZ57+AL57)+(BO57+BA57+AM57)+(BK57+AW57+AI57)+(BS57+BE57+AQ57)+(BL57+AX57+AJ57)+(BQ57+BC57+AO57)+(2*((BT57+BF57+AR57)+(BU57+BG57+AS57)))+(CK57+CM57+CO57+CQ57+CS57+CU57)+(CL57*BY57)+(CN57*CA57)+(CP57+CC57)+(CR57+CE57)+(CT57+CG57)+(CV57+CI57)+BV57</f>
        <v>49</v>
      </c>
      <c r="Q57" s="46">
        <f>ROUNDDOWN(((S57/5)+T57+X57+Y57+U57+AC57+V57+AA57+(2*(AD57+AE57))+CK57+CM57+CO57+CQ57+CS57+CU57+(CL57*BX57)+(CN57*BZ57)+(CP57*CB57)+(CR57*CD57)+(CT57*CF57)+(CV57*CH57))*CX57,0)</f>
        <v>53</v>
      </c>
      <c r="R57" s="46">
        <f>ROUNDDOWN(AVERAGE(P57:Q57),0)</f>
        <v>51</v>
      </c>
      <c r="S57" s="12">
        <f>AG57+AU57+BI57</f>
        <v>128</v>
      </c>
      <c r="T57" s="12">
        <f>AH57+AV57+BJ57</f>
        <v>11</v>
      </c>
      <c r="U57" s="12">
        <f>AI57+AW57+BK57</f>
        <v>3</v>
      </c>
      <c r="V57" s="12">
        <f>AJ57+AX57+BL57</f>
        <v>2</v>
      </c>
      <c r="W57" s="12">
        <f>AK57+AY57+BM57</f>
        <v>0</v>
      </c>
      <c r="X57" s="12">
        <f>AL57+AZ57+BN57</f>
        <v>1</v>
      </c>
      <c r="Y57" s="12">
        <f>AM57+BA57+BO57</f>
        <v>0</v>
      </c>
      <c r="Z57" s="12">
        <f>AN57+BB57+BP57</f>
        <v>0</v>
      </c>
      <c r="AA57" s="12">
        <f>AO57+BC57+BQ57</f>
        <v>0</v>
      </c>
      <c r="AB57" s="12">
        <f>AP57+BD57+BR57</f>
        <v>0</v>
      </c>
      <c r="AC57" s="12">
        <f>AQ57+BE57+BS57</f>
        <v>1</v>
      </c>
      <c r="AD57" s="12">
        <f>AR57+BF57+BT57</f>
        <v>5</v>
      </c>
      <c r="AE57" s="12">
        <f>AS57+BG57+BU57</f>
        <v>0</v>
      </c>
      <c r="AF57" s="28"/>
      <c r="AG57" s="28"/>
      <c r="AH57" s="28"/>
      <c r="AI57" s="28"/>
      <c r="AJ57" s="28"/>
      <c r="AK57" s="28"/>
      <c r="AL57" s="28"/>
      <c r="AM57" s="28"/>
      <c r="AN57" s="28"/>
      <c r="AO57" s="28"/>
      <c r="AP57" s="28"/>
      <c r="AQ57" s="28"/>
      <c r="AR57" s="28"/>
      <c r="AS57" s="28"/>
      <c r="AT57" s="28"/>
      <c r="AU57" s="12">
        <f>IF($H57=3,IF(OR($F57="DDV",$F57="DDG",$F57="DD"),'Fleet Tech - Tech'!B$3,IF($F57="CL",'Fleet Tech - Tech'!B$4,IF($F57="CA",'Fleet Tech - Tech'!B$5,IF($F57="BC",'Fleet Tech - Tech'!B$6,IF($F57="BB",'Fleet Tech - Tech'!B$7,IF($F57="CVL",'Fleet Tech - Tech'!B$8,IF($F57="CV",'Fleet Tech - Tech'!B$9,IF($F57="SS",'Fleet Tech - Tech'!B$10,IF($F57="BBV",'Fleet Tech - Tech'!B$11,IF($F57="CB",'Fleet Tech - Tech'!B$15,IF($F57="AE",'Fleet Tech - Tech'!B$16,IF($F57="IX",'Fleet Tech - Tech'!B$17,IF($F57="BM",'Fleet Tech - Tech'!B$13,IF($F57="AR",'Fleet Tech - Tech'!B$12,IF($F57="SSV",'Fleet Tech - Tech'!B$14,"nil"))))))))))))))),0)</f>
        <v>128</v>
      </c>
      <c r="AV57" s="12">
        <f>IF($H57=3,IF(OR($F57="DDV",$F57="DDG",$F57="DD"),'Fleet Tech - Tech'!C$3,IF($F57="CL",'Fleet Tech - Tech'!C$4,IF($F57="CA",'Fleet Tech - Tech'!C$5,IF($F57="BC",'Fleet Tech - Tech'!C$6,IF($F57="BB",'Fleet Tech - Tech'!C$7,IF($F57="CVL",'Fleet Tech - Tech'!C$8,IF($F57="CV",'Fleet Tech - Tech'!C$9,IF($F57="SS",'Fleet Tech - Tech'!C$10,IF($F57="BBV",'Fleet Tech - Tech'!C$11,IF($F57="CB",'Fleet Tech - Tech'!C$15,IF($F57="AE",'Fleet Tech - Tech'!C$16,IF($F57="IX",'Fleet Tech - Tech'!C$17,IF($F57="BM",'Fleet Tech - Tech'!C$13,IF($F57="AR",'Fleet Tech - Tech'!C$12,IF($F57="SSV",'Fleet Tech - Tech'!C$14,"nil"))))))))))))))),0)</f>
        <v>11</v>
      </c>
      <c r="AW57" s="12">
        <f>IF($H57=3,IF(OR($F57="DDV",$F57="DDG",$F57="DD"),'Fleet Tech - Tech'!D$3,IF($F57="CL",'Fleet Tech - Tech'!D$4,IF($F57="CA",'Fleet Tech - Tech'!D$5,IF($F57="BC",'Fleet Tech - Tech'!D$6,IF($F57="BB",'Fleet Tech - Tech'!D$7,IF($F57="CVL",'Fleet Tech - Tech'!D$8,IF($F57="CV",'Fleet Tech - Tech'!D$9,IF($F57="SS",'Fleet Tech - Tech'!D$10,IF($F57="BBV",'Fleet Tech - Tech'!D$11,IF($F57="CB",'Fleet Tech - Tech'!D$15,IF($F57="AE",'Fleet Tech - Tech'!D$16,IF($F57="IX",'Fleet Tech - Tech'!D$17,IF($F57="BM",'Fleet Tech - Tech'!D$13,IF($F57="AR",'Fleet Tech - Tech'!D$12,IF($F57="SSV",'Fleet Tech - Tech'!D$14,"nil"))))))))))))))),0)</f>
        <v>3</v>
      </c>
      <c r="AX57" s="12">
        <f>IF($H57=3,IF(OR($F57="DDV",$F57="DDG",$F57="DD"),'Fleet Tech - Tech'!E$3,IF($F57="CL",'Fleet Tech - Tech'!E$4,IF($F57="CA",'Fleet Tech - Tech'!E$5,IF($F57="BC",'Fleet Tech - Tech'!E$6,IF($F57="BB",'Fleet Tech - Tech'!E$7,IF($F57="CVL",'Fleet Tech - Tech'!E$8,IF($F57="CV",'Fleet Tech - Tech'!E$9,IF($F57="SS",'Fleet Tech - Tech'!E$10,IF($F57="BBV",'Fleet Tech - Tech'!E$11,IF($F57="CB",'Fleet Tech - Tech'!E$15,IF($F57="AE",'Fleet Tech - Tech'!E$16,IF($F57="IX",'Fleet Tech - Tech'!E$17,IF($F57="BM",'Fleet Tech - Tech'!E$13,IF($F57="AR",'Fleet Tech - Tech'!E$12,IF($F57="SSV",'Fleet Tech - Tech'!E$14,"nil"))))))))))))))),0)</f>
        <v>2</v>
      </c>
      <c r="AY57" s="12">
        <f>IF($H57=3,IF(OR($F57="DDV",$F57="DDG",$F57="DD"),'Fleet Tech - Tech'!F$3,IF($F57="CL",'Fleet Tech - Tech'!F$4,IF($F57="CA",'Fleet Tech - Tech'!F$5,IF($F57="BC",'Fleet Tech - Tech'!F$6,IF($F57="BB",'Fleet Tech - Tech'!F$7,IF($F57="CVL",'Fleet Tech - Tech'!F$8,IF($F57="CV",'Fleet Tech - Tech'!F$9,IF($F57="SS",'Fleet Tech - Tech'!F$10,IF($F57="BBV",'Fleet Tech - Tech'!F$11,IF($F57="CB",'Fleet Tech - Tech'!F$15,IF($F57="AE",'Fleet Tech - Tech'!F$16,IF($F57="IX",'Fleet Tech - Tech'!F$17,IF($F57="BM",'Fleet Tech - Tech'!F$13,IF($F57="AR",'Fleet Tech - Tech'!F$12,IF($F57="SSV",'Fleet Tech - Tech'!F$14,"nil"))))))))))))))),0)</f>
        <v>0</v>
      </c>
      <c r="AZ57" s="12">
        <f>IF($H57=3,IF(OR($F57="DDV",$F57="DDG",$F57="DD"),'Fleet Tech - Tech'!G$3,IF($F57="CL",'Fleet Tech - Tech'!G$4,IF($F57="CA",'Fleet Tech - Tech'!G$5,IF($F57="BC",'Fleet Tech - Tech'!G$6,IF($F57="BB",'Fleet Tech - Tech'!G$7,IF($F57="CVL",'Fleet Tech - Tech'!G$8,IF($F57="CV",'Fleet Tech - Tech'!G$9,IF($F57="SS",'Fleet Tech - Tech'!G$10,IF($F57="BBV",'Fleet Tech - Tech'!G$11,IF($F57="CB",'Fleet Tech - Tech'!G$15,IF($F57="AE",'Fleet Tech - Tech'!G$16,IF($F57="IX",'Fleet Tech - Tech'!G$17,IF($F57="BM",'Fleet Tech - Tech'!G$13,IF($F57="AR",'Fleet Tech - Tech'!G$12,IF($F57="SSV",'Fleet Tech - Tech'!G$14,"nil"))))))))))))))),0)</f>
        <v>1</v>
      </c>
      <c r="BA57" s="12">
        <f>IF($H57=3,IF(OR($F57="DDV",$F57="DDG",$F57="DD"),'Fleet Tech - Tech'!H$3,IF($F57="CL",'Fleet Tech - Tech'!H$4,IF($F57="CA",'Fleet Tech - Tech'!H$5,IF($F57="BC",'Fleet Tech - Tech'!H$6,IF($F57="BB",'Fleet Tech - Tech'!H$7,IF($F57="CVL",'Fleet Tech - Tech'!H$8,IF($F57="CV",'Fleet Tech - Tech'!H$9,IF($F57="SS",'Fleet Tech - Tech'!H$10,IF($F57="BBV",'Fleet Tech - Tech'!H$11,IF($F57="CB",'Fleet Tech - Tech'!H$15,IF($F57="AE",'Fleet Tech - Tech'!H$16,IF($F57="IX",'Fleet Tech - Tech'!H$17,IF($F57="BM",'Fleet Tech - Tech'!H$13,IF($F57="AR",'Fleet Tech - Tech'!H$12,IF($F57="SSV",'Fleet Tech - Tech'!H$14,"nil"))))))))))))))),0)</f>
        <v>0</v>
      </c>
      <c r="BB57" s="12">
        <f>IF($H57=3,IF(OR($F57="DDV",$F57="DDG",$F57="DD"),'Fleet Tech - Tech'!I$3,IF($F57="CL",'Fleet Tech - Tech'!I$4,IF($F57="CA",'Fleet Tech - Tech'!I$5,IF($F57="BC",'Fleet Tech - Tech'!I$6,IF($F57="BB",'Fleet Tech - Tech'!I$7,IF($F57="CVL",'Fleet Tech - Tech'!I$8,IF($F57="CV",'Fleet Tech - Tech'!I$9,IF($F57="SS",'Fleet Tech - Tech'!I$10,IF($F57="BBV",'Fleet Tech - Tech'!I$11,IF($F57="CB",'Fleet Tech - Tech'!I$15,IF($F57="AE",'Fleet Tech - Tech'!I$16,IF($F57="IX",'Fleet Tech - Tech'!I$17,IF($F57="BM",'Fleet Tech - Tech'!I$13,IF($F57="AR",'Fleet Tech - Tech'!I$12,IF($F57="SSV",'Fleet Tech - Tech'!I$14,"nil"))))))))))))))),0)</f>
        <v>0</v>
      </c>
      <c r="BC57" s="12">
        <f>IF($H57=3,IF(OR($F57="DDV",$F57="DDG",$F57="DD"),'Fleet Tech - Tech'!J$3,IF($F57="CL",'Fleet Tech - Tech'!J$4,IF($F57="CA",'Fleet Tech - Tech'!J$5,IF($F57="BC",'Fleet Tech - Tech'!J$6,IF($F57="BB",'Fleet Tech - Tech'!J$7,IF($F57="CVL",'Fleet Tech - Tech'!J$8,IF($F57="CV",'Fleet Tech - Tech'!J$9,IF($F57="SS",'Fleet Tech - Tech'!J$10,IF($F57="BBV",'Fleet Tech - Tech'!J$11,IF($F57="CB",'Fleet Tech - Tech'!J$15,IF($F57="AE",'Fleet Tech - Tech'!J$16,IF($F57="IX",'Fleet Tech - Tech'!J$17,IF($F57="BM",'Fleet Tech - Tech'!J$13,IF($F57="AR",'Fleet Tech - Tech'!J$12,IF($F57="SSV",'Fleet Tech - Tech'!J$14,"nil"))))))))))))))),0)</f>
        <v>0</v>
      </c>
      <c r="BD57" s="12">
        <f>IF($H57=3,IF(OR($F57="DDV",$F57="DDG",$F57="DD"),'Fleet Tech - Tech'!K$3,IF($F57="CL",'Fleet Tech - Tech'!K$4,IF($F57="CA",'Fleet Tech - Tech'!K$5,IF($F57="BC",'Fleet Tech - Tech'!K$6,IF($F57="BB",'Fleet Tech - Tech'!K$7,IF($F57="CVL",'Fleet Tech - Tech'!K$8,IF($F57="CV",'Fleet Tech - Tech'!K$9,IF($F57="SS",'Fleet Tech - Tech'!K$10,IF($F57="BBV",'Fleet Tech - Tech'!K$11,IF($F57="CB",'Fleet Tech - Tech'!K$15,IF($F57="AE",'Fleet Tech - Tech'!K$16,IF($F57="IX",'Fleet Tech - Tech'!K$17,IF($F57="BM",'Fleet Tech - Tech'!K$13,IF($F57="AR",'Fleet Tech - Tech'!K$12,IF($F57="SSV",'Fleet Tech - Tech'!K$14,"nil"))))))))))))))),0)</f>
        <v>0</v>
      </c>
      <c r="BE57" s="12">
        <f>IF($H57=3,IF(OR($F57="DDV",$F57="DDG",$F57="DD"),'Fleet Tech - Tech'!L$3,IF($F57="CL",'Fleet Tech - Tech'!L$4,IF($F57="CA",'Fleet Tech - Tech'!L$5,IF($F57="BC",'Fleet Tech - Tech'!L$6,IF($F57="BB",'Fleet Tech - Tech'!L$7,IF($F57="CVL",'Fleet Tech - Tech'!L$8,IF($F57="CV",'Fleet Tech - Tech'!L$9,IF($F57="SS",'Fleet Tech - Tech'!L$10,IF($F57="BBV",'Fleet Tech - Tech'!L$11,IF($F57="CB",'Fleet Tech - Tech'!L$15,IF($F57="AE",'Fleet Tech - Tech'!L$16,IF($F57="IX",'Fleet Tech - Tech'!L$17,IF($F57="BM",'Fleet Tech - Tech'!L$13,IF($F57="AR",'Fleet Tech - Tech'!L$12,IF($F57="SSV",'Fleet Tech - Tech'!L$14,"nil"))))))))))))))),0)</f>
        <v>1</v>
      </c>
      <c r="BF57" s="12">
        <f>IF($H57=3,IF(OR($F57="DDV",$F57="DDG",$F57="DD"),'Fleet Tech - Tech'!M$3,IF($F57="CL",'Fleet Tech - Tech'!M$4,IF($F57="CA",'Fleet Tech - Tech'!M$5,IF($F57="BC",'Fleet Tech - Tech'!M$6,IF($F57="BB",'Fleet Tech - Tech'!M$7,IF($F57="CVL",'Fleet Tech - Tech'!M$8,IF($F57="CV",'Fleet Tech - Tech'!M$9,IF($F57="SS",'Fleet Tech - Tech'!M$10,IF($F57="BBV",'Fleet Tech - Tech'!M$11,IF($F57="CB",'Fleet Tech - Tech'!M$15,IF($F57="AE",'Fleet Tech - Tech'!M$16,IF($F57="IX",'Fleet Tech - Tech'!M$17,IF($F57="BM",'Fleet Tech - Tech'!M$13,IF($F57="AR",'Fleet Tech - Tech'!M$12,IF($F57="SSV",'Fleet Tech - Tech'!M$14,"nil"))))))))))))))),0)</f>
        <v>5</v>
      </c>
      <c r="BG57" s="12">
        <f>IF($H57=3,IF(OR($F57="DDV",$F57="DDG",$F57="DD"),'Fleet Tech - Tech'!N$3,IF($F57="CL",'Fleet Tech - Tech'!N$4,IF($F57="CA",'Fleet Tech - Tech'!N$5,IF($F57="BC",'Fleet Tech - Tech'!N$6,IF($F57="BB",'Fleet Tech - Tech'!N$7,IF($F57="CVL",'Fleet Tech - Tech'!N$8,IF($F57="CV",'Fleet Tech - Tech'!N$9,IF($F57="SS",'Fleet Tech - Tech'!N$10,IF($F57="BBV",'Fleet Tech - Tech'!N$11,IF($F57="CB",'Fleet Tech - Tech'!N$15,IF($F57="AE",'Fleet Tech - Tech'!N$16,IF($F57="IX",'Fleet Tech - Tech'!N$17,IF($F57="BM",'Fleet Tech - Tech'!N$13,IF($F57="AR",'Fleet Tech - Tech'!N$12,IF($F57="SSV",'Fleet Tech - Tech'!N$14,"nil"))))))))))))))),0)</f>
        <v>0</v>
      </c>
      <c r="BH57" s="28"/>
      <c r="BI57" s="28"/>
      <c r="BJ57" s="28"/>
      <c r="BK57" s="28"/>
      <c r="BL57" s="28"/>
      <c r="BM57" s="28"/>
      <c r="BN57" s="28"/>
      <c r="BO57" s="28"/>
      <c r="BP57" s="28"/>
      <c r="BQ57" s="28"/>
      <c r="BR57" s="28"/>
      <c r="BS57" s="28"/>
      <c r="BT57" s="28"/>
      <c r="BU57" s="28"/>
      <c r="BV57" s="28"/>
      <c r="BW57" s="28"/>
      <c r="BX57" s="12">
        <v>-1</v>
      </c>
      <c r="BY57" s="12">
        <v>-1</v>
      </c>
      <c r="BZ57" s="12">
        <v>-1</v>
      </c>
      <c r="CA57" s="12">
        <v>-1</v>
      </c>
      <c r="CB57" s="12">
        <v>-1</v>
      </c>
      <c r="CC57" s="12">
        <v>-1</v>
      </c>
      <c r="CD57" s="12">
        <v>-1</v>
      </c>
      <c r="CE57" s="12">
        <v>-1</v>
      </c>
      <c r="CF57" s="12">
        <v>-1</v>
      </c>
      <c r="CG57" s="12">
        <v>-1</v>
      </c>
      <c r="CH57" s="12">
        <v>-1</v>
      </c>
      <c r="CI57" s="12">
        <v>-1</v>
      </c>
      <c r="CJ57" s="47"/>
      <c r="CK57" s="48">
        <f>IF(BX57=5,320,IF(BX57=4,195,IF(BX57=3,132,IF(BX57=2,90,IF(BX57=1,58,IF(BX57=-1,0,35))))))</f>
        <v>0</v>
      </c>
      <c r="CL57" s="48">
        <f>IF(BX57=5,20,IF(BX57=4,15,IF(BX57=3,12,IF(BX57=2,10,IF(BX57=1,8,IF(BX57=-1,0,5))))))</f>
        <v>0</v>
      </c>
      <c r="CM57" s="48">
        <f>IF(BZ57=5,320,IF(BZ57=4,195,IF(BZ57=3,132,IF(BZ57=2,90,IF(BZ57=1,58,IF(BZ57=-1,0,35))))))</f>
        <v>0</v>
      </c>
      <c r="CN57" s="48">
        <f>IF(BZ57=5,20,IF(BZ57=4,15,IF(BZ57=3,12,IF(BZ57=2,10,IF(BZ57=1,8,IF(BZ57=-1,0,5))))))</f>
        <v>0</v>
      </c>
      <c r="CO57" s="48">
        <f>IF(CB57=5,320,IF(CB57=4,195,IF(CB57=3,132,IF(CB57=2,90,IF(CB57=1,58,IF(CB57=-1,0,35))))))</f>
        <v>0</v>
      </c>
      <c r="CP57" s="48">
        <f>IF(CB57=5,20,IF(CB57=4,15,IF(CB57=3,12,IF(CB57=2,10,IF(CB57=1,8,IF(CB57=-1,0,5))))))</f>
        <v>0</v>
      </c>
      <c r="CQ57" s="48">
        <f>IF(CD57=5,320,IF(CD57=4,195,IF(CD57=3,132,IF(CD57=2,90,IF(CD57=1,58,IF(CD57=-1,0,35))))))</f>
        <v>0</v>
      </c>
      <c r="CR57" s="48">
        <f>IF(CD57=5,20,IF(CD57=4,15,IF(CD57=3,12,IF(CD57=2,10,IF(CD57=1,8,IF(CD57=-1,0,5))))))</f>
        <v>0</v>
      </c>
      <c r="CS57" s="48">
        <f>IF(CF57=5,320,IF(CF57=4,195,IF(CF57=3,132,IF(CF57=2,90,IF(CF57=1,58,IF(CF57=-1,0,35))))))</f>
        <v>0</v>
      </c>
      <c r="CT57" s="48">
        <f>IF(CF57=5,20,IF(CF57=4,15,IF(CF57=3,12,IF(CF57=2,10,IF(CF57=1,8,IF(CF57=-1,0,5))))))</f>
        <v>0</v>
      </c>
      <c r="CU57" s="48">
        <f>IF(CH57=5,320,IF(CH57=4,195,IF(CH57=3,132,IF(CH57=2,90,IF(CH57=1,58,IF(CH57=-1,0,35))))))</f>
        <v>0</v>
      </c>
      <c r="CV57" s="48">
        <f>IF(CH57=5,20,IF(CH57=4,15,IF(CH57=3,12,IF(CH57=2,10,IF(CH57=1,8,IF(CH57=-1,0,5))))))</f>
        <v>0</v>
      </c>
      <c r="CW57" s="48">
        <f>IF(BY57&gt;10,(BY57/10)-ROUNDDOWN(BY57/10,0),0)+IF(CA57&gt;10,(CA57/10)-ROUNDDOWN(CA57/10,0),0)+IF(CC57&gt;10,(CC57/10)-ROUNDDOWN(CC57/10,0),0)+IF(CE57&gt;10,(CE57/10)-ROUNDDOWN(CE57/10,0),0)+IF(CG57&gt;10,(CG57/10)-ROUNDDOWN(CG57/10,0),0)+IF(CI57&gt;10,(CI57/10)-ROUNDDOWN(CI57/10,0),0)</f>
        <v>0</v>
      </c>
      <c r="CX57" s="48">
        <f>1+(CW57/10)</f>
        <v>1</v>
      </c>
    </row>
    <row r="58" ht="20.05" customHeight="1">
      <c r="A58" t="s" s="43">
        <v>336</v>
      </c>
      <c r="B58" s="49"/>
      <c r="C58" t="s" s="45">
        <v>279</v>
      </c>
      <c r="D58" s="13">
        <v>7</v>
      </c>
      <c r="E58" t="s" s="15">
        <v>232</v>
      </c>
      <c r="F58" t="s" s="15">
        <v>284</v>
      </c>
      <c r="G58" t="s" s="15">
        <v>282</v>
      </c>
      <c r="H58" s="12">
        <v>3</v>
      </c>
      <c r="I58" t="s" s="15">
        <v>277</v>
      </c>
      <c r="J58" s="12">
        <v>74</v>
      </c>
      <c r="K58" t="s" s="14">
        <v>236</v>
      </c>
      <c r="L58" t="s" s="15">
        <v>265</v>
      </c>
      <c r="M58" t="s" s="15">
        <v>337</v>
      </c>
      <c r="N58" s="46">
        <f>ROUND((SUM(AA58,T58:Y58,AC58:AE58,Z58*10)-AB58*15)*(IF(K58="Heavy",0.15,IF(K58="Medium",0,IF(K58="Light",-0.15,10)))+1),0)</f>
        <v>20</v>
      </c>
      <c r="O58" s="50"/>
      <c r="P58" s="46">
        <f>ROUNDDOWN((BI58+AU58+AG58)/5,0)+(BJ58+AV58+AH58)+(BN58+AZ58+AL58)+(BO58+BA58+AM58)+(BK58+AW58+AI58)+(BS58+BE58+AQ58)+(BL58+AX58+AJ58)+(BQ58+BC58+AO58)+(2*((BT58+BF58+AR58)+(BU58+BG58+AS58)))+(CK58+CM58+CO58+CQ58+CS58+CU58)+(CL58*BY58)+(CN58*CA58)+(CP58+CC58)+(CR58+CE58)+(CT58+CG58)+(CV58+CI58)+BV58</f>
        <v>49</v>
      </c>
      <c r="Q58" s="46">
        <f>ROUNDDOWN(((S58/5)+T58+X58+Y58+U58+AC58+V58+AA58+(2*(AD58+AE58))+CK58+CM58+CO58+CQ58+CS58+CU58+(CL58*BX58)+(CN58*BZ58)+(CP58*CB58)+(CR58*CD58)+(CT58*CF58)+(CV58*CH58))*CX58,0)</f>
        <v>53</v>
      </c>
      <c r="R58" s="46">
        <f>ROUNDDOWN(AVERAGE(P58:Q58),0)</f>
        <v>51</v>
      </c>
      <c r="S58" s="12">
        <f>AG58+AU58+BI58</f>
        <v>128</v>
      </c>
      <c r="T58" s="12">
        <f>AH58+AV58+BJ58</f>
        <v>11</v>
      </c>
      <c r="U58" s="12">
        <f>AI58+AW58+BK58</f>
        <v>3</v>
      </c>
      <c r="V58" s="12">
        <f>AJ58+AX58+BL58</f>
        <v>2</v>
      </c>
      <c r="W58" s="12">
        <f>AK58+AY58+BM58</f>
        <v>0</v>
      </c>
      <c r="X58" s="12">
        <f>AL58+AZ58+BN58</f>
        <v>1</v>
      </c>
      <c r="Y58" s="12">
        <f>AM58+BA58+BO58</f>
        <v>0</v>
      </c>
      <c r="Z58" s="12">
        <f>AN58+BB58+BP58</f>
        <v>0</v>
      </c>
      <c r="AA58" s="12">
        <f>AO58+BC58+BQ58</f>
        <v>0</v>
      </c>
      <c r="AB58" s="12">
        <f>AP58+BD58+BR58</f>
        <v>0</v>
      </c>
      <c r="AC58" s="12">
        <f>AQ58+BE58+BS58</f>
        <v>1</v>
      </c>
      <c r="AD58" s="12">
        <f>AR58+BF58+BT58</f>
        <v>5</v>
      </c>
      <c r="AE58" s="12">
        <f>AS58+BG58+BU58</f>
        <v>0</v>
      </c>
      <c r="AF58" s="28"/>
      <c r="AG58" s="28"/>
      <c r="AH58" s="28"/>
      <c r="AI58" s="28"/>
      <c r="AJ58" s="28"/>
      <c r="AK58" s="28"/>
      <c r="AL58" s="28"/>
      <c r="AM58" s="28"/>
      <c r="AN58" s="28"/>
      <c r="AO58" s="28"/>
      <c r="AP58" s="28"/>
      <c r="AQ58" s="28"/>
      <c r="AR58" s="28"/>
      <c r="AS58" s="28"/>
      <c r="AT58" s="28"/>
      <c r="AU58" s="12">
        <f>IF($H58=3,IF(OR($F58="DDV",$F58="DDG",$F58="DD"),'Fleet Tech - Tech'!B$3,IF($F58="CL",'Fleet Tech - Tech'!B$4,IF($F58="CA",'Fleet Tech - Tech'!B$5,IF($F58="BC",'Fleet Tech - Tech'!B$6,IF($F58="BB",'Fleet Tech - Tech'!B$7,IF($F58="CVL",'Fleet Tech - Tech'!B$8,IF($F58="CV",'Fleet Tech - Tech'!B$9,IF($F58="SS",'Fleet Tech - Tech'!B$10,IF($F58="BBV",'Fleet Tech - Tech'!B$11,IF($F58="CB",'Fleet Tech - Tech'!B$15,IF($F58="AE",'Fleet Tech - Tech'!B$16,IF($F58="IX",'Fleet Tech - Tech'!B$17,IF($F58="BM",'Fleet Tech - Tech'!B$13,IF($F58="AR",'Fleet Tech - Tech'!B$12,IF($F58="SSV",'Fleet Tech - Tech'!B$14,"nil"))))))))))))))),0)</f>
        <v>128</v>
      </c>
      <c r="AV58" s="12">
        <f>IF($H58=3,IF(OR($F58="DDV",$F58="DDG",$F58="DD"),'Fleet Tech - Tech'!C$3,IF($F58="CL",'Fleet Tech - Tech'!C$4,IF($F58="CA",'Fleet Tech - Tech'!C$5,IF($F58="BC",'Fleet Tech - Tech'!C$6,IF($F58="BB",'Fleet Tech - Tech'!C$7,IF($F58="CVL",'Fleet Tech - Tech'!C$8,IF($F58="CV",'Fleet Tech - Tech'!C$9,IF($F58="SS",'Fleet Tech - Tech'!C$10,IF($F58="BBV",'Fleet Tech - Tech'!C$11,IF($F58="CB",'Fleet Tech - Tech'!C$15,IF($F58="AE",'Fleet Tech - Tech'!C$16,IF($F58="IX",'Fleet Tech - Tech'!C$17,IF($F58="BM",'Fleet Tech - Tech'!C$13,IF($F58="AR",'Fleet Tech - Tech'!C$12,IF($F58="SSV",'Fleet Tech - Tech'!C$14,"nil"))))))))))))))),0)</f>
        <v>11</v>
      </c>
      <c r="AW58" s="12">
        <f>IF($H58=3,IF(OR($F58="DDV",$F58="DDG",$F58="DD"),'Fleet Tech - Tech'!D$3,IF($F58="CL",'Fleet Tech - Tech'!D$4,IF($F58="CA",'Fleet Tech - Tech'!D$5,IF($F58="BC",'Fleet Tech - Tech'!D$6,IF($F58="BB",'Fleet Tech - Tech'!D$7,IF($F58="CVL",'Fleet Tech - Tech'!D$8,IF($F58="CV",'Fleet Tech - Tech'!D$9,IF($F58="SS",'Fleet Tech - Tech'!D$10,IF($F58="BBV",'Fleet Tech - Tech'!D$11,IF($F58="CB",'Fleet Tech - Tech'!D$15,IF($F58="AE",'Fleet Tech - Tech'!D$16,IF($F58="IX",'Fleet Tech - Tech'!D$17,IF($F58="BM",'Fleet Tech - Tech'!D$13,IF($F58="AR",'Fleet Tech - Tech'!D$12,IF($F58="SSV",'Fleet Tech - Tech'!D$14,"nil"))))))))))))))),0)</f>
        <v>3</v>
      </c>
      <c r="AX58" s="12">
        <f>IF($H58=3,IF(OR($F58="DDV",$F58="DDG",$F58="DD"),'Fleet Tech - Tech'!E$3,IF($F58="CL",'Fleet Tech - Tech'!E$4,IF($F58="CA",'Fleet Tech - Tech'!E$5,IF($F58="BC",'Fleet Tech - Tech'!E$6,IF($F58="BB",'Fleet Tech - Tech'!E$7,IF($F58="CVL",'Fleet Tech - Tech'!E$8,IF($F58="CV",'Fleet Tech - Tech'!E$9,IF($F58="SS",'Fleet Tech - Tech'!E$10,IF($F58="BBV",'Fleet Tech - Tech'!E$11,IF($F58="CB",'Fleet Tech - Tech'!E$15,IF($F58="AE",'Fleet Tech - Tech'!E$16,IF($F58="IX",'Fleet Tech - Tech'!E$17,IF($F58="BM",'Fleet Tech - Tech'!E$13,IF($F58="AR",'Fleet Tech - Tech'!E$12,IF($F58="SSV",'Fleet Tech - Tech'!E$14,"nil"))))))))))))))),0)</f>
        <v>2</v>
      </c>
      <c r="AY58" s="12">
        <f>IF($H58=3,IF(OR($F58="DDV",$F58="DDG",$F58="DD"),'Fleet Tech - Tech'!F$3,IF($F58="CL",'Fleet Tech - Tech'!F$4,IF($F58="CA",'Fleet Tech - Tech'!F$5,IF($F58="BC",'Fleet Tech - Tech'!F$6,IF($F58="BB",'Fleet Tech - Tech'!F$7,IF($F58="CVL",'Fleet Tech - Tech'!F$8,IF($F58="CV",'Fleet Tech - Tech'!F$9,IF($F58="SS",'Fleet Tech - Tech'!F$10,IF($F58="BBV",'Fleet Tech - Tech'!F$11,IF($F58="CB",'Fleet Tech - Tech'!F$15,IF($F58="AE",'Fleet Tech - Tech'!F$16,IF($F58="IX",'Fleet Tech - Tech'!F$17,IF($F58="BM",'Fleet Tech - Tech'!F$13,IF($F58="AR",'Fleet Tech - Tech'!F$12,IF($F58="SSV",'Fleet Tech - Tech'!F$14,"nil"))))))))))))))),0)</f>
        <v>0</v>
      </c>
      <c r="AZ58" s="12">
        <f>IF($H58=3,IF(OR($F58="DDV",$F58="DDG",$F58="DD"),'Fleet Tech - Tech'!G$3,IF($F58="CL",'Fleet Tech - Tech'!G$4,IF($F58="CA",'Fleet Tech - Tech'!G$5,IF($F58="BC",'Fleet Tech - Tech'!G$6,IF($F58="BB",'Fleet Tech - Tech'!G$7,IF($F58="CVL",'Fleet Tech - Tech'!G$8,IF($F58="CV",'Fleet Tech - Tech'!G$9,IF($F58="SS",'Fleet Tech - Tech'!G$10,IF($F58="BBV",'Fleet Tech - Tech'!G$11,IF($F58="CB",'Fleet Tech - Tech'!G$15,IF($F58="AE",'Fleet Tech - Tech'!G$16,IF($F58="IX",'Fleet Tech - Tech'!G$17,IF($F58="BM",'Fleet Tech - Tech'!G$13,IF($F58="AR",'Fleet Tech - Tech'!G$12,IF($F58="SSV",'Fleet Tech - Tech'!G$14,"nil"))))))))))))))),0)</f>
        <v>1</v>
      </c>
      <c r="BA58" s="12">
        <f>IF($H58=3,IF(OR($F58="DDV",$F58="DDG",$F58="DD"),'Fleet Tech - Tech'!H$3,IF($F58="CL",'Fleet Tech - Tech'!H$4,IF($F58="CA",'Fleet Tech - Tech'!H$5,IF($F58="BC",'Fleet Tech - Tech'!H$6,IF($F58="BB",'Fleet Tech - Tech'!H$7,IF($F58="CVL",'Fleet Tech - Tech'!H$8,IF($F58="CV",'Fleet Tech - Tech'!H$9,IF($F58="SS",'Fleet Tech - Tech'!H$10,IF($F58="BBV",'Fleet Tech - Tech'!H$11,IF($F58="CB",'Fleet Tech - Tech'!H$15,IF($F58="AE",'Fleet Tech - Tech'!H$16,IF($F58="IX",'Fleet Tech - Tech'!H$17,IF($F58="BM",'Fleet Tech - Tech'!H$13,IF($F58="AR",'Fleet Tech - Tech'!H$12,IF($F58="SSV",'Fleet Tech - Tech'!H$14,"nil"))))))))))))))),0)</f>
        <v>0</v>
      </c>
      <c r="BB58" s="12">
        <f>IF($H58=3,IF(OR($F58="DDV",$F58="DDG",$F58="DD"),'Fleet Tech - Tech'!I$3,IF($F58="CL",'Fleet Tech - Tech'!I$4,IF($F58="CA",'Fleet Tech - Tech'!I$5,IF($F58="BC",'Fleet Tech - Tech'!I$6,IF($F58="BB",'Fleet Tech - Tech'!I$7,IF($F58="CVL",'Fleet Tech - Tech'!I$8,IF($F58="CV",'Fleet Tech - Tech'!I$9,IF($F58="SS",'Fleet Tech - Tech'!I$10,IF($F58="BBV",'Fleet Tech - Tech'!I$11,IF($F58="CB",'Fleet Tech - Tech'!I$15,IF($F58="AE",'Fleet Tech - Tech'!I$16,IF($F58="IX",'Fleet Tech - Tech'!I$17,IF($F58="BM",'Fleet Tech - Tech'!I$13,IF($F58="AR",'Fleet Tech - Tech'!I$12,IF($F58="SSV",'Fleet Tech - Tech'!I$14,"nil"))))))))))))))),0)</f>
        <v>0</v>
      </c>
      <c r="BC58" s="12">
        <f>IF($H58=3,IF(OR($F58="DDV",$F58="DDG",$F58="DD"),'Fleet Tech - Tech'!J$3,IF($F58="CL",'Fleet Tech - Tech'!J$4,IF($F58="CA",'Fleet Tech - Tech'!J$5,IF($F58="BC",'Fleet Tech - Tech'!J$6,IF($F58="BB",'Fleet Tech - Tech'!J$7,IF($F58="CVL",'Fleet Tech - Tech'!J$8,IF($F58="CV",'Fleet Tech - Tech'!J$9,IF($F58="SS",'Fleet Tech - Tech'!J$10,IF($F58="BBV",'Fleet Tech - Tech'!J$11,IF($F58="CB",'Fleet Tech - Tech'!J$15,IF($F58="AE",'Fleet Tech - Tech'!J$16,IF($F58="IX",'Fleet Tech - Tech'!J$17,IF($F58="BM",'Fleet Tech - Tech'!J$13,IF($F58="AR",'Fleet Tech - Tech'!J$12,IF($F58="SSV",'Fleet Tech - Tech'!J$14,"nil"))))))))))))))),0)</f>
        <v>0</v>
      </c>
      <c r="BD58" s="12">
        <f>IF($H58=3,IF(OR($F58="DDV",$F58="DDG",$F58="DD"),'Fleet Tech - Tech'!K$3,IF($F58="CL",'Fleet Tech - Tech'!K$4,IF($F58="CA",'Fleet Tech - Tech'!K$5,IF($F58="BC",'Fleet Tech - Tech'!K$6,IF($F58="BB",'Fleet Tech - Tech'!K$7,IF($F58="CVL",'Fleet Tech - Tech'!K$8,IF($F58="CV",'Fleet Tech - Tech'!K$9,IF($F58="SS",'Fleet Tech - Tech'!K$10,IF($F58="BBV",'Fleet Tech - Tech'!K$11,IF($F58="CB",'Fleet Tech - Tech'!K$15,IF($F58="AE",'Fleet Tech - Tech'!K$16,IF($F58="IX",'Fleet Tech - Tech'!K$17,IF($F58="BM",'Fleet Tech - Tech'!K$13,IF($F58="AR",'Fleet Tech - Tech'!K$12,IF($F58="SSV",'Fleet Tech - Tech'!K$14,"nil"))))))))))))))),0)</f>
        <v>0</v>
      </c>
      <c r="BE58" s="12">
        <f>IF($H58=3,IF(OR($F58="DDV",$F58="DDG",$F58="DD"),'Fleet Tech - Tech'!L$3,IF($F58="CL",'Fleet Tech - Tech'!L$4,IF($F58="CA",'Fleet Tech - Tech'!L$5,IF($F58="BC",'Fleet Tech - Tech'!L$6,IF($F58="BB",'Fleet Tech - Tech'!L$7,IF($F58="CVL",'Fleet Tech - Tech'!L$8,IF($F58="CV",'Fleet Tech - Tech'!L$9,IF($F58="SS",'Fleet Tech - Tech'!L$10,IF($F58="BBV",'Fleet Tech - Tech'!L$11,IF($F58="CB",'Fleet Tech - Tech'!L$15,IF($F58="AE",'Fleet Tech - Tech'!L$16,IF($F58="IX",'Fleet Tech - Tech'!L$17,IF($F58="BM",'Fleet Tech - Tech'!L$13,IF($F58="AR",'Fleet Tech - Tech'!L$12,IF($F58="SSV",'Fleet Tech - Tech'!L$14,"nil"))))))))))))))),0)</f>
        <v>1</v>
      </c>
      <c r="BF58" s="12">
        <f>IF($H58=3,IF(OR($F58="DDV",$F58="DDG",$F58="DD"),'Fleet Tech - Tech'!M$3,IF($F58="CL",'Fleet Tech - Tech'!M$4,IF($F58="CA",'Fleet Tech - Tech'!M$5,IF($F58="BC",'Fleet Tech - Tech'!M$6,IF($F58="BB",'Fleet Tech - Tech'!M$7,IF($F58="CVL",'Fleet Tech - Tech'!M$8,IF($F58="CV",'Fleet Tech - Tech'!M$9,IF($F58="SS",'Fleet Tech - Tech'!M$10,IF($F58="BBV",'Fleet Tech - Tech'!M$11,IF($F58="CB",'Fleet Tech - Tech'!M$15,IF($F58="AE",'Fleet Tech - Tech'!M$16,IF($F58="IX",'Fleet Tech - Tech'!M$17,IF($F58="BM",'Fleet Tech - Tech'!M$13,IF($F58="AR",'Fleet Tech - Tech'!M$12,IF($F58="SSV",'Fleet Tech - Tech'!M$14,"nil"))))))))))))))),0)</f>
        <v>5</v>
      </c>
      <c r="BG58" s="12">
        <f>IF($H58=3,IF(OR($F58="DDV",$F58="DDG",$F58="DD"),'Fleet Tech - Tech'!N$3,IF($F58="CL",'Fleet Tech - Tech'!N$4,IF($F58="CA",'Fleet Tech - Tech'!N$5,IF($F58="BC",'Fleet Tech - Tech'!N$6,IF($F58="BB",'Fleet Tech - Tech'!N$7,IF($F58="CVL",'Fleet Tech - Tech'!N$8,IF($F58="CV",'Fleet Tech - Tech'!N$9,IF($F58="SS",'Fleet Tech - Tech'!N$10,IF($F58="BBV",'Fleet Tech - Tech'!N$11,IF($F58="CB",'Fleet Tech - Tech'!N$15,IF($F58="AE",'Fleet Tech - Tech'!N$16,IF($F58="IX",'Fleet Tech - Tech'!N$17,IF($F58="BM",'Fleet Tech - Tech'!N$13,IF($F58="AR",'Fleet Tech - Tech'!N$12,IF($F58="SSV",'Fleet Tech - Tech'!N$14,"nil"))))))))))))))),0)</f>
        <v>0</v>
      </c>
      <c r="BH58" s="28"/>
      <c r="BI58" s="28"/>
      <c r="BJ58" s="28"/>
      <c r="BK58" s="28"/>
      <c r="BL58" s="28"/>
      <c r="BM58" s="28"/>
      <c r="BN58" s="28"/>
      <c r="BO58" s="28"/>
      <c r="BP58" s="28"/>
      <c r="BQ58" s="28"/>
      <c r="BR58" s="28"/>
      <c r="BS58" s="28"/>
      <c r="BT58" s="28"/>
      <c r="BU58" s="28"/>
      <c r="BV58" s="28"/>
      <c r="BW58" s="28"/>
      <c r="BX58" s="12">
        <v>-1</v>
      </c>
      <c r="BY58" s="12">
        <v>-1</v>
      </c>
      <c r="BZ58" s="12">
        <v>-1</v>
      </c>
      <c r="CA58" s="12">
        <v>-1</v>
      </c>
      <c r="CB58" s="12">
        <v>-1</v>
      </c>
      <c r="CC58" s="12">
        <v>-1</v>
      </c>
      <c r="CD58" s="12">
        <v>-1</v>
      </c>
      <c r="CE58" s="12">
        <v>-1</v>
      </c>
      <c r="CF58" s="12">
        <v>-1</v>
      </c>
      <c r="CG58" s="12">
        <v>-1</v>
      </c>
      <c r="CH58" s="12">
        <v>-1</v>
      </c>
      <c r="CI58" s="12">
        <v>-1</v>
      </c>
      <c r="CJ58" s="47"/>
      <c r="CK58" s="48">
        <f>IF(BX58=5,320,IF(BX58=4,195,IF(BX58=3,132,IF(BX58=2,90,IF(BX58=1,58,IF(BX58=-1,0,35))))))</f>
        <v>0</v>
      </c>
      <c r="CL58" s="48">
        <f>IF(BX58=5,20,IF(BX58=4,15,IF(BX58=3,12,IF(BX58=2,10,IF(BX58=1,8,IF(BX58=-1,0,5))))))</f>
        <v>0</v>
      </c>
      <c r="CM58" s="48">
        <f>IF(BZ58=5,320,IF(BZ58=4,195,IF(BZ58=3,132,IF(BZ58=2,90,IF(BZ58=1,58,IF(BZ58=-1,0,35))))))</f>
        <v>0</v>
      </c>
      <c r="CN58" s="48">
        <f>IF(BZ58=5,20,IF(BZ58=4,15,IF(BZ58=3,12,IF(BZ58=2,10,IF(BZ58=1,8,IF(BZ58=-1,0,5))))))</f>
        <v>0</v>
      </c>
      <c r="CO58" s="48">
        <f>IF(CB58=5,320,IF(CB58=4,195,IF(CB58=3,132,IF(CB58=2,90,IF(CB58=1,58,IF(CB58=-1,0,35))))))</f>
        <v>0</v>
      </c>
      <c r="CP58" s="48">
        <f>IF(CB58=5,20,IF(CB58=4,15,IF(CB58=3,12,IF(CB58=2,10,IF(CB58=1,8,IF(CB58=-1,0,5))))))</f>
        <v>0</v>
      </c>
      <c r="CQ58" s="48">
        <f>IF(CD58=5,320,IF(CD58=4,195,IF(CD58=3,132,IF(CD58=2,90,IF(CD58=1,58,IF(CD58=-1,0,35))))))</f>
        <v>0</v>
      </c>
      <c r="CR58" s="48">
        <f>IF(CD58=5,20,IF(CD58=4,15,IF(CD58=3,12,IF(CD58=2,10,IF(CD58=1,8,IF(CD58=-1,0,5))))))</f>
        <v>0</v>
      </c>
      <c r="CS58" s="48">
        <f>IF(CF58=5,320,IF(CF58=4,195,IF(CF58=3,132,IF(CF58=2,90,IF(CF58=1,58,IF(CF58=-1,0,35))))))</f>
        <v>0</v>
      </c>
      <c r="CT58" s="48">
        <f>IF(CF58=5,20,IF(CF58=4,15,IF(CF58=3,12,IF(CF58=2,10,IF(CF58=1,8,IF(CF58=-1,0,5))))))</f>
        <v>0</v>
      </c>
      <c r="CU58" s="48">
        <f>IF(CH58=5,320,IF(CH58=4,195,IF(CH58=3,132,IF(CH58=2,90,IF(CH58=1,58,IF(CH58=-1,0,35))))))</f>
        <v>0</v>
      </c>
      <c r="CV58" s="48">
        <f>IF(CH58=5,20,IF(CH58=4,15,IF(CH58=3,12,IF(CH58=2,10,IF(CH58=1,8,IF(CH58=-1,0,5))))))</f>
        <v>0</v>
      </c>
      <c r="CW58" s="48">
        <f>IF(BY58&gt;10,(BY58/10)-ROUNDDOWN(BY58/10,0),0)+IF(CA58&gt;10,(CA58/10)-ROUNDDOWN(CA58/10,0),0)+IF(CC58&gt;10,(CC58/10)-ROUNDDOWN(CC58/10,0),0)+IF(CE58&gt;10,(CE58/10)-ROUNDDOWN(CE58/10,0),0)+IF(CG58&gt;10,(CG58/10)-ROUNDDOWN(CG58/10,0),0)+IF(CI58&gt;10,(CI58/10)-ROUNDDOWN(CI58/10,0),0)</f>
        <v>0</v>
      </c>
      <c r="CX58" s="48">
        <f>1+(CW58/10)</f>
        <v>1</v>
      </c>
    </row>
    <row r="59" ht="20.05" customHeight="1">
      <c r="A59" t="s" s="43">
        <v>338</v>
      </c>
      <c r="B59" s="49"/>
      <c r="C59" t="s" s="45">
        <v>279</v>
      </c>
      <c r="D59" s="13">
        <v>7</v>
      </c>
      <c r="E59" t="s" s="15">
        <v>232</v>
      </c>
      <c r="F59" t="s" s="15">
        <v>284</v>
      </c>
      <c r="G59" t="s" s="15">
        <v>282</v>
      </c>
      <c r="H59" s="12">
        <v>2</v>
      </c>
      <c r="I59" t="s" s="15">
        <v>300</v>
      </c>
      <c r="J59" s="12">
        <v>73</v>
      </c>
      <c r="K59" t="s" s="14">
        <v>236</v>
      </c>
      <c r="L59" t="s" s="15">
        <v>237</v>
      </c>
      <c r="M59" t="s" s="15">
        <v>19</v>
      </c>
      <c r="N59" s="46">
        <f>ROUND((SUM(AA59,T59:Y59,AC59:AE59,Z59*10)-AB59*15)*(IF(K59="Heavy",0.15,IF(K59="Medium",0,IF(K59="Light",-0.15,10)))+1),0)</f>
        <v>0</v>
      </c>
      <c r="O59" s="50"/>
      <c r="P59" s="46">
        <f>ROUNDDOWN((BI59+AU59+AG59)/5,0)+(BJ59+AV59+AH59)+(BN59+AZ59+AL59)+(BO59+BA59+AM59)+(BK59+AW59+AI59)+(BS59+BE59+AQ59)+(BL59+AX59+AJ59)+(BQ59+BC59+AO59)+(2*((BT59+BF59+AR59)+(BU59+BG59+AS59)))+(CK59+CM59+CO59+CQ59+CS59+CU59)+(CL59*BY59)+(CN59*CA59)+(CP59+CC59)+(CR59+CE59)+(CT59+CG59)+(CV59+CI59)+BV59</f>
        <v>-4</v>
      </c>
      <c r="Q59" s="46">
        <f>ROUNDDOWN(((S59/5)+T59+X59+Y59+U59+AC59+V59+AA59+(2*(AD59+AE59))+CK59+CM59+CO59+CQ59+CS59+CU59+(CL59*BX59)+(CN59*BZ59)+(CP59*CB59)+(CR59*CD59)+(CT59*CF59)+(CV59*CH59))*CX59,0)</f>
        <v>0</v>
      </c>
      <c r="R59" s="46">
        <f>ROUNDDOWN(AVERAGE(P59:Q59),0)</f>
        <v>-2</v>
      </c>
      <c r="S59" s="12">
        <f>AG59+AU59+BI59</f>
        <v>0</v>
      </c>
      <c r="T59" s="12">
        <f>AH59+AV59+BJ59</f>
        <v>0</v>
      </c>
      <c r="U59" s="12">
        <f>AI59+AW59+BK59</f>
        <v>0</v>
      </c>
      <c r="V59" s="12">
        <f>AJ59+AX59+BL59</f>
        <v>0</v>
      </c>
      <c r="W59" s="12">
        <f>AK59+AY59+BM59</f>
        <v>0</v>
      </c>
      <c r="X59" s="12">
        <f>AL59+AZ59+BN59</f>
        <v>0</v>
      </c>
      <c r="Y59" s="12">
        <f>AM59+BA59+BO59</f>
        <v>0</v>
      </c>
      <c r="Z59" s="12">
        <f>AN59+BB59+BP59</f>
        <v>0</v>
      </c>
      <c r="AA59" s="12">
        <f>AO59+BC59+BQ59</f>
        <v>0</v>
      </c>
      <c r="AB59" s="12">
        <f>AP59+BD59+BR59</f>
        <v>0</v>
      </c>
      <c r="AC59" s="12">
        <f>AQ59+BE59+BS59</f>
        <v>0</v>
      </c>
      <c r="AD59" s="12">
        <f>AR59+BF59+BT59</f>
        <v>0</v>
      </c>
      <c r="AE59" s="12">
        <f>AS59+BG59+BU59</f>
        <v>0</v>
      </c>
      <c r="AF59" s="28"/>
      <c r="AG59" s="28"/>
      <c r="AH59" s="28"/>
      <c r="AI59" s="28"/>
      <c r="AJ59" s="28"/>
      <c r="AK59" s="28"/>
      <c r="AL59" s="28"/>
      <c r="AM59" s="28"/>
      <c r="AN59" s="28"/>
      <c r="AO59" s="28"/>
      <c r="AP59" s="28"/>
      <c r="AQ59" s="28"/>
      <c r="AR59" s="28"/>
      <c r="AS59" s="28"/>
      <c r="AT59" s="28"/>
      <c r="AU59" s="12">
        <f>IF($H59=3,IF(OR($F59="DDV",$F59="DDG",$F59="DD"),'Fleet Tech - Tech'!B$3,IF($F59="CL",'Fleet Tech - Tech'!B$4,IF($F59="CA",'Fleet Tech - Tech'!B$5,IF($F59="BC",'Fleet Tech - Tech'!B$6,IF($F59="BB",'Fleet Tech - Tech'!B$7,IF($F59="CVL",'Fleet Tech - Tech'!B$8,IF($F59="CV",'Fleet Tech - Tech'!B$9,IF($F59="SS",'Fleet Tech - Tech'!B$10,IF($F59="BBV",'Fleet Tech - Tech'!B$11,IF($F59="CB",'Fleet Tech - Tech'!B$15,IF($F59="AE",'Fleet Tech - Tech'!B$16,IF($F59="IX",'Fleet Tech - Tech'!B$17,IF($F59="BM",'Fleet Tech - Tech'!B$13,IF($F59="AR",'Fleet Tech - Tech'!B$12,IF($F59="SSV",'Fleet Tech - Tech'!B$14,"nil"))))))))))))))),0)</f>
        <v>0</v>
      </c>
      <c r="AV59" s="12">
        <f>IF($H59=3,IF(OR($F59="DDV",$F59="DDG",$F59="DD"),'Fleet Tech - Tech'!C$3,IF($F59="CL",'Fleet Tech - Tech'!C$4,IF($F59="CA",'Fleet Tech - Tech'!C$5,IF($F59="BC",'Fleet Tech - Tech'!C$6,IF($F59="BB",'Fleet Tech - Tech'!C$7,IF($F59="CVL",'Fleet Tech - Tech'!C$8,IF($F59="CV",'Fleet Tech - Tech'!C$9,IF($F59="SS",'Fleet Tech - Tech'!C$10,IF($F59="BBV",'Fleet Tech - Tech'!C$11,IF($F59="CB",'Fleet Tech - Tech'!C$15,IF($F59="AE",'Fleet Tech - Tech'!C$16,IF($F59="IX",'Fleet Tech - Tech'!C$17,IF($F59="BM",'Fleet Tech - Tech'!C$13,IF($F59="AR",'Fleet Tech - Tech'!C$12,IF($F59="SSV",'Fleet Tech - Tech'!C$14,"nil"))))))))))))))),0)</f>
        <v>0</v>
      </c>
      <c r="AW59" s="12">
        <f>IF($H59=3,IF(OR($F59="DDV",$F59="DDG",$F59="DD"),'Fleet Tech - Tech'!D$3,IF($F59="CL",'Fleet Tech - Tech'!D$4,IF($F59="CA",'Fleet Tech - Tech'!D$5,IF($F59="BC",'Fleet Tech - Tech'!D$6,IF($F59="BB",'Fleet Tech - Tech'!D$7,IF($F59="CVL",'Fleet Tech - Tech'!D$8,IF($F59="CV",'Fleet Tech - Tech'!D$9,IF($F59="SS",'Fleet Tech - Tech'!D$10,IF($F59="BBV",'Fleet Tech - Tech'!D$11,IF($F59="CB",'Fleet Tech - Tech'!D$15,IF($F59="AE",'Fleet Tech - Tech'!D$16,IF($F59="IX",'Fleet Tech - Tech'!D$17,IF($F59="BM",'Fleet Tech - Tech'!D$13,IF($F59="AR",'Fleet Tech - Tech'!D$12,IF($F59="SSV",'Fleet Tech - Tech'!D$14,"nil"))))))))))))))),0)</f>
        <v>0</v>
      </c>
      <c r="AX59" s="12">
        <f>IF($H59=3,IF(OR($F59="DDV",$F59="DDG",$F59="DD"),'Fleet Tech - Tech'!E$3,IF($F59="CL",'Fleet Tech - Tech'!E$4,IF($F59="CA",'Fleet Tech - Tech'!E$5,IF($F59="BC",'Fleet Tech - Tech'!E$6,IF($F59="BB",'Fleet Tech - Tech'!E$7,IF($F59="CVL",'Fleet Tech - Tech'!E$8,IF($F59="CV",'Fleet Tech - Tech'!E$9,IF($F59="SS",'Fleet Tech - Tech'!E$10,IF($F59="BBV",'Fleet Tech - Tech'!E$11,IF($F59="CB",'Fleet Tech - Tech'!E$15,IF($F59="AE",'Fleet Tech - Tech'!E$16,IF($F59="IX",'Fleet Tech - Tech'!E$17,IF($F59="BM",'Fleet Tech - Tech'!E$13,IF($F59="AR",'Fleet Tech - Tech'!E$12,IF($F59="SSV",'Fleet Tech - Tech'!E$14,"nil"))))))))))))))),0)</f>
        <v>0</v>
      </c>
      <c r="AY59" s="12">
        <f>IF($H59=3,IF(OR($F59="DDV",$F59="DDG",$F59="DD"),'Fleet Tech - Tech'!F$3,IF($F59="CL",'Fleet Tech - Tech'!F$4,IF($F59="CA",'Fleet Tech - Tech'!F$5,IF($F59="BC",'Fleet Tech - Tech'!F$6,IF($F59="BB",'Fleet Tech - Tech'!F$7,IF($F59="CVL",'Fleet Tech - Tech'!F$8,IF($F59="CV",'Fleet Tech - Tech'!F$9,IF($F59="SS",'Fleet Tech - Tech'!F$10,IF($F59="BBV",'Fleet Tech - Tech'!F$11,IF($F59="CB",'Fleet Tech - Tech'!F$15,IF($F59="AE",'Fleet Tech - Tech'!F$16,IF($F59="IX",'Fleet Tech - Tech'!F$17,IF($F59="BM",'Fleet Tech - Tech'!F$13,IF($F59="AR",'Fleet Tech - Tech'!F$12,IF($F59="SSV",'Fleet Tech - Tech'!F$14,"nil"))))))))))))))),0)</f>
        <v>0</v>
      </c>
      <c r="AZ59" s="12">
        <f>IF($H59=3,IF(OR($F59="DDV",$F59="DDG",$F59="DD"),'Fleet Tech - Tech'!G$3,IF($F59="CL",'Fleet Tech - Tech'!G$4,IF($F59="CA",'Fleet Tech - Tech'!G$5,IF($F59="BC",'Fleet Tech - Tech'!G$6,IF($F59="BB",'Fleet Tech - Tech'!G$7,IF($F59="CVL",'Fleet Tech - Tech'!G$8,IF($F59="CV",'Fleet Tech - Tech'!G$9,IF($F59="SS",'Fleet Tech - Tech'!G$10,IF($F59="BBV",'Fleet Tech - Tech'!G$11,IF($F59="CB",'Fleet Tech - Tech'!G$15,IF($F59="AE",'Fleet Tech - Tech'!G$16,IF($F59="IX",'Fleet Tech - Tech'!G$17,IF($F59="BM",'Fleet Tech - Tech'!G$13,IF($F59="AR",'Fleet Tech - Tech'!G$12,IF($F59="SSV",'Fleet Tech - Tech'!G$14,"nil"))))))))))))))),0)</f>
        <v>0</v>
      </c>
      <c r="BA59" s="12">
        <f>IF($H59=3,IF(OR($F59="DDV",$F59="DDG",$F59="DD"),'Fleet Tech - Tech'!H$3,IF($F59="CL",'Fleet Tech - Tech'!H$4,IF($F59="CA",'Fleet Tech - Tech'!H$5,IF($F59="BC",'Fleet Tech - Tech'!H$6,IF($F59="BB",'Fleet Tech - Tech'!H$7,IF($F59="CVL",'Fleet Tech - Tech'!H$8,IF($F59="CV",'Fleet Tech - Tech'!H$9,IF($F59="SS",'Fleet Tech - Tech'!H$10,IF($F59="BBV",'Fleet Tech - Tech'!H$11,IF($F59="CB",'Fleet Tech - Tech'!H$15,IF($F59="AE",'Fleet Tech - Tech'!H$16,IF($F59="IX",'Fleet Tech - Tech'!H$17,IF($F59="BM",'Fleet Tech - Tech'!H$13,IF($F59="AR",'Fleet Tech - Tech'!H$12,IF($F59="SSV",'Fleet Tech - Tech'!H$14,"nil"))))))))))))))),0)</f>
        <v>0</v>
      </c>
      <c r="BB59" s="12">
        <f>IF($H59=3,IF(OR($F59="DDV",$F59="DDG",$F59="DD"),'Fleet Tech - Tech'!I$3,IF($F59="CL",'Fleet Tech - Tech'!I$4,IF($F59="CA",'Fleet Tech - Tech'!I$5,IF($F59="BC",'Fleet Tech - Tech'!I$6,IF($F59="BB",'Fleet Tech - Tech'!I$7,IF($F59="CVL",'Fleet Tech - Tech'!I$8,IF($F59="CV",'Fleet Tech - Tech'!I$9,IF($F59="SS",'Fleet Tech - Tech'!I$10,IF($F59="BBV",'Fleet Tech - Tech'!I$11,IF($F59="CB",'Fleet Tech - Tech'!I$15,IF($F59="AE",'Fleet Tech - Tech'!I$16,IF($F59="IX",'Fleet Tech - Tech'!I$17,IF($F59="BM",'Fleet Tech - Tech'!I$13,IF($F59="AR",'Fleet Tech - Tech'!I$12,IF($F59="SSV",'Fleet Tech - Tech'!I$14,"nil"))))))))))))))),0)</f>
        <v>0</v>
      </c>
      <c r="BC59" s="12">
        <f>IF($H59=3,IF(OR($F59="DDV",$F59="DDG",$F59="DD"),'Fleet Tech - Tech'!J$3,IF($F59="CL",'Fleet Tech - Tech'!J$4,IF($F59="CA",'Fleet Tech - Tech'!J$5,IF($F59="BC",'Fleet Tech - Tech'!J$6,IF($F59="BB",'Fleet Tech - Tech'!J$7,IF($F59="CVL",'Fleet Tech - Tech'!J$8,IF($F59="CV",'Fleet Tech - Tech'!J$9,IF($F59="SS",'Fleet Tech - Tech'!J$10,IF($F59="BBV",'Fleet Tech - Tech'!J$11,IF($F59="CB",'Fleet Tech - Tech'!J$15,IF($F59="AE",'Fleet Tech - Tech'!J$16,IF($F59="IX",'Fleet Tech - Tech'!J$17,IF($F59="BM",'Fleet Tech - Tech'!J$13,IF($F59="AR",'Fleet Tech - Tech'!J$12,IF($F59="SSV",'Fleet Tech - Tech'!J$14,"nil"))))))))))))))),0)</f>
        <v>0</v>
      </c>
      <c r="BD59" s="12">
        <f>IF($H59=3,IF(OR($F59="DDV",$F59="DDG",$F59="DD"),'Fleet Tech - Tech'!K$3,IF($F59="CL",'Fleet Tech - Tech'!K$4,IF($F59="CA",'Fleet Tech - Tech'!K$5,IF($F59="BC",'Fleet Tech - Tech'!K$6,IF($F59="BB",'Fleet Tech - Tech'!K$7,IF($F59="CVL",'Fleet Tech - Tech'!K$8,IF($F59="CV",'Fleet Tech - Tech'!K$9,IF($F59="SS",'Fleet Tech - Tech'!K$10,IF($F59="BBV",'Fleet Tech - Tech'!K$11,IF($F59="CB",'Fleet Tech - Tech'!K$15,IF($F59="AE",'Fleet Tech - Tech'!K$16,IF($F59="IX",'Fleet Tech - Tech'!K$17,IF($F59="BM",'Fleet Tech - Tech'!K$13,IF($F59="AR",'Fleet Tech - Tech'!K$12,IF($F59="SSV",'Fleet Tech - Tech'!K$14,"nil"))))))))))))))),0)</f>
        <v>0</v>
      </c>
      <c r="BE59" s="12">
        <f>IF($H59=3,IF(OR($F59="DDV",$F59="DDG",$F59="DD"),'Fleet Tech - Tech'!L$3,IF($F59="CL",'Fleet Tech - Tech'!L$4,IF($F59="CA",'Fleet Tech - Tech'!L$5,IF($F59="BC",'Fleet Tech - Tech'!L$6,IF($F59="BB",'Fleet Tech - Tech'!L$7,IF($F59="CVL",'Fleet Tech - Tech'!L$8,IF($F59="CV",'Fleet Tech - Tech'!L$9,IF($F59="SS",'Fleet Tech - Tech'!L$10,IF($F59="BBV",'Fleet Tech - Tech'!L$11,IF($F59="CB",'Fleet Tech - Tech'!L$15,IF($F59="AE",'Fleet Tech - Tech'!L$16,IF($F59="IX",'Fleet Tech - Tech'!L$17,IF($F59="BM",'Fleet Tech - Tech'!L$13,IF($F59="AR",'Fleet Tech - Tech'!L$12,IF($F59="SSV",'Fleet Tech - Tech'!L$14,"nil"))))))))))))))),0)</f>
        <v>0</v>
      </c>
      <c r="BF59" s="12">
        <f>IF($H59=3,IF(OR($F59="DDV",$F59="DDG",$F59="DD"),'Fleet Tech - Tech'!M$3,IF($F59="CL",'Fleet Tech - Tech'!M$4,IF($F59="CA",'Fleet Tech - Tech'!M$5,IF($F59="BC",'Fleet Tech - Tech'!M$6,IF($F59="BB",'Fleet Tech - Tech'!M$7,IF($F59="CVL",'Fleet Tech - Tech'!M$8,IF($F59="CV",'Fleet Tech - Tech'!M$9,IF($F59="SS",'Fleet Tech - Tech'!M$10,IF($F59="BBV",'Fleet Tech - Tech'!M$11,IF($F59="CB",'Fleet Tech - Tech'!M$15,IF($F59="AE",'Fleet Tech - Tech'!M$16,IF($F59="IX",'Fleet Tech - Tech'!M$17,IF($F59="BM",'Fleet Tech - Tech'!M$13,IF($F59="AR",'Fleet Tech - Tech'!M$12,IF($F59="SSV",'Fleet Tech - Tech'!M$14,"nil"))))))))))))))),0)</f>
        <v>0</v>
      </c>
      <c r="BG59" s="12">
        <f>IF($H59=3,IF(OR($F59="DDV",$F59="DDG",$F59="DD"),'Fleet Tech - Tech'!N$3,IF($F59="CL",'Fleet Tech - Tech'!N$4,IF($F59="CA",'Fleet Tech - Tech'!N$5,IF($F59="BC",'Fleet Tech - Tech'!N$6,IF($F59="BB",'Fleet Tech - Tech'!N$7,IF($F59="CVL",'Fleet Tech - Tech'!N$8,IF($F59="CV",'Fleet Tech - Tech'!N$9,IF($F59="SS",'Fleet Tech - Tech'!N$10,IF($F59="BBV",'Fleet Tech - Tech'!N$11,IF($F59="CB",'Fleet Tech - Tech'!N$15,IF($F59="AE",'Fleet Tech - Tech'!N$16,IF($F59="IX",'Fleet Tech - Tech'!N$17,IF($F59="BM",'Fleet Tech - Tech'!N$13,IF($F59="AR",'Fleet Tech - Tech'!N$12,IF($F59="SSV",'Fleet Tech - Tech'!N$14,"nil"))))))))))))))),0)</f>
        <v>0</v>
      </c>
      <c r="BH59" s="28"/>
      <c r="BI59" s="28"/>
      <c r="BJ59" s="28"/>
      <c r="BK59" s="28"/>
      <c r="BL59" s="28"/>
      <c r="BM59" s="28"/>
      <c r="BN59" s="28"/>
      <c r="BO59" s="28"/>
      <c r="BP59" s="28"/>
      <c r="BQ59" s="28"/>
      <c r="BR59" s="28"/>
      <c r="BS59" s="28"/>
      <c r="BT59" s="28"/>
      <c r="BU59" s="28"/>
      <c r="BV59" s="28"/>
      <c r="BW59" s="28"/>
      <c r="BX59" s="12">
        <v>-1</v>
      </c>
      <c r="BY59" s="12">
        <v>-1</v>
      </c>
      <c r="BZ59" s="12">
        <v>-1</v>
      </c>
      <c r="CA59" s="12">
        <v>-1</v>
      </c>
      <c r="CB59" s="12">
        <v>-1</v>
      </c>
      <c r="CC59" s="12">
        <v>-1</v>
      </c>
      <c r="CD59" s="12">
        <v>-1</v>
      </c>
      <c r="CE59" s="12">
        <v>-1</v>
      </c>
      <c r="CF59" s="12">
        <v>-1</v>
      </c>
      <c r="CG59" s="12">
        <v>-1</v>
      </c>
      <c r="CH59" s="12">
        <v>-1</v>
      </c>
      <c r="CI59" s="12">
        <v>-1</v>
      </c>
      <c r="CJ59" s="47"/>
      <c r="CK59" s="48">
        <f>IF(BX59=5,320,IF(BX59=4,195,IF(BX59=3,132,IF(BX59=2,90,IF(BX59=1,58,IF(BX59=-1,0,35))))))</f>
        <v>0</v>
      </c>
      <c r="CL59" s="48">
        <f>IF(BX59=5,20,IF(BX59=4,15,IF(BX59=3,12,IF(BX59=2,10,IF(BX59=1,8,IF(BX59=-1,0,5))))))</f>
        <v>0</v>
      </c>
      <c r="CM59" s="48">
        <f>IF(BZ59=5,320,IF(BZ59=4,195,IF(BZ59=3,132,IF(BZ59=2,90,IF(BZ59=1,58,IF(BZ59=-1,0,35))))))</f>
        <v>0</v>
      </c>
      <c r="CN59" s="48">
        <f>IF(BZ59=5,20,IF(BZ59=4,15,IF(BZ59=3,12,IF(BZ59=2,10,IF(BZ59=1,8,IF(BZ59=-1,0,5))))))</f>
        <v>0</v>
      </c>
      <c r="CO59" s="48">
        <f>IF(CB59=5,320,IF(CB59=4,195,IF(CB59=3,132,IF(CB59=2,90,IF(CB59=1,58,IF(CB59=-1,0,35))))))</f>
        <v>0</v>
      </c>
      <c r="CP59" s="48">
        <f>IF(CB59=5,20,IF(CB59=4,15,IF(CB59=3,12,IF(CB59=2,10,IF(CB59=1,8,IF(CB59=-1,0,5))))))</f>
        <v>0</v>
      </c>
      <c r="CQ59" s="48">
        <f>IF(CD59=5,320,IF(CD59=4,195,IF(CD59=3,132,IF(CD59=2,90,IF(CD59=1,58,IF(CD59=-1,0,35))))))</f>
        <v>0</v>
      </c>
      <c r="CR59" s="48">
        <f>IF(CD59=5,20,IF(CD59=4,15,IF(CD59=3,12,IF(CD59=2,10,IF(CD59=1,8,IF(CD59=-1,0,5))))))</f>
        <v>0</v>
      </c>
      <c r="CS59" s="48">
        <f>IF(CF59=5,320,IF(CF59=4,195,IF(CF59=3,132,IF(CF59=2,90,IF(CF59=1,58,IF(CF59=-1,0,35))))))</f>
        <v>0</v>
      </c>
      <c r="CT59" s="48">
        <f>IF(CF59=5,20,IF(CF59=4,15,IF(CF59=3,12,IF(CF59=2,10,IF(CF59=1,8,IF(CF59=-1,0,5))))))</f>
        <v>0</v>
      </c>
      <c r="CU59" s="48">
        <f>IF(CH59=5,320,IF(CH59=4,195,IF(CH59=3,132,IF(CH59=2,90,IF(CH59=1,58,IF(CH59=-1,0,35))))))</f>
        <v>0</v>
      </c>
      <c r="CV59" s="48">
        <f>IF(CH59=5,20,IF(CH59=4,15,IF(CH59=3,12,IF(CH59=2,10,IF(CH59=1,8,IF(CH59=-1,0,5))))))</f>
        <v>0</v>
      </c>
      <c r="CW59" s="48">
        <f>IF(BY59&gt;10,(BY59/10)-ROUNDDOWN(BY59/10,0),0)+IF(CA59&gt;10,(CA59/10)-ROUNDDOWN(CA59/10,0),0)+IF(CC59&gt;10,(CC59/10)-ROUNDDOWN(CC59/10,0),0)+IF(CE59&gt;10,(CE59/10)-ROUNDDOWN(CE59/10,0),0)+IF(CG59&gt;10,(CG59/10)-ROUNDDOWN(CG59/10,0),0)+IF(CI59&gt;10,(CI59/10)-ROUNDDOWN(CI59/10,0),0)</f>
        <v>0</v>
      </c>
      <c r="CX59" s="48">
        <f>1+(CW59/10)</f>
        <v>1</v>
      </c>
    </row>
    <row r="60" ht="20.05" customHeight="1">
      <c r="A60" t="s" s="43">
        <v>339</v>
      </c>
      <c r="B60" s="49"/>
      <c r="C60" t="s" s="45">
        <v>279</v>
      </c>
      <c r="D60" s="13">
        <v>7</v>
      </c>
      <c r="E60" t="s" s="15">
        <v>232</v>
      </c>
      <c r="F60" t="s" s="15">
        <v>275</v>
      </c>
      <c r="G60" t="s" s="15">
        <v>282</v>
      </c>
      <c r="H60" s="12">
        <v>3</v>
      </c>
      <c r="I60" t="s" s="15">
        <v>279</v>
      </c>
      <c r="J60" s="12">
        <v>73</v>
      </c>
      <c r="K60" t="s" s="14">
        <v>242</v>
      </c>
      <c r="L60" t="s" s="15">
        <v>237</v>
      </c>
      <c r="M60" t="s" s="15">
        <v>19</v>
      </c>
      <c r="N60" s="46">
        <f>ROUND((SUM(AA60,T60:Y60,AC60:AE60,Z60*10)-AB60*15)*(IF(K60="Heavy",0.15,IF(K60="Medium",0,IF(K60="Light",-0.15,10)))+1),0)</f>
        <v>10</v>
      </c>
      <c r="O60" s="50"/>
      <c r="P60" s="46">
        <f>ROUNDDOWN((BI60+AU60+AG60)/5,0)+(BJ60+AV60+AH60)+(BN60+AZ60+AL60)+(BO60+BA60+AM60)+(BK60+AW60+AI60)+(BS60+BE60+AQ60)+(BL60+AX60+AJ60)+(BQ60+BC60+AO60)+(2*((BT60+BF60+AR60)+(BU60+BG60+AS60)))+(CK60+CM60+CO60+CQ60+CS60+CU60)+(CL60*BY60)+(CN60*CA60)+(CP60+CC60)+(CR60+CE60)+(CT60+CG60)+(CV60+CI60)+BV60</f>
        <v>17</v>
      </c>
      <c r="Q60" s="46">
        <f>ROUNDDOWN(((S60/5)+T60+X60+Y60+U60+AC60+V60+AA60+(2*(AD60+AE60))+CK60+CM60+CO60+CQ60+CS60+CU60+(CL60*BX60)+(CN60*BZ60)+(CP60*CB60)+(CR60*CD60)+(CT60*CF60)+(CV60*CH60))*CX60,0)</f>
        <v>21</v>
      </c>
      <c r="R60" s="46">
        <f>ROUNDDOWN(AVERAGE(P60:Q60),0)</f>
        <v>19</v>
      </c>
      <c r="S60" s="12">
        <f>AG60+AU60+BI60</f>
        <v>57</v>
      </c>
      <c r="T60" s="12">
        <f>AH60+AV60+BJ60</f>
        <v>3</v>
      </c>
      <c r="U60" s="12">
        <f>AI60+AW60+BK60</f>
        <v>0</v>
      </c>
      <c r="V60" s="12">
        <f>AJ60+AX60+BL60</f>
        <v>0</v>
      </c>
      <c r="W60" s="12">
        <f>AK60+AY60+BM60</f>
        <v>0</v>
      </c>
      <c r="X60" s="12">
        <f>AL60+AZ60+BN60</f>
        <v>6</v>
      </c>
      <c r="Y60" s="12">
        <f>AM60+BA60+BO60</f>
        <v>0</v>
      </c>
      <c r="Z60" s="12">
        <f>AN60+BB60+BP60</f>
        <v>0</v>
      </c>
      <c r="AA60" s="12">
        <f>AO60+BC60+BQ60</f>
        <v>0</v>
      </c>
      <c r="AB60" s="12">
        <f>AP60+BD60+BR60</f>
        <v>0</v>
      </c>
      <c r="AC60" s="12">
        <f>AQ60+BE60+BS60</f>
        <v>1</v>
      </c>
      <c r="AD60" s="12">
        <f>AR60+BF60+BT60</f>
        <v>0</v>
      </c>
      <c r="AE60" s="12">
        <f>AS60+BG60+BU60</f>
        <v>0</v>
      </c>
      <c r="AF60" s="28"/>
      <c r="AG60" s="28"/>
      <c r="AH60" s="28"/>
      <c r="AI60" s="28"/>
      <c r="AJ60" s="28"/>
      <c r="AK60" s="28"/>
      <c r="AL60" s="28"/>
      <c r="AM60" s="28"/>
      <c r="AN60" s="28"/>
      <c r="AO60" s="28"/>
      <c r="AP60" s="28"/>
      <c r="AQ60" s="28"/>
      <c r="AR60" s="28"/>
      <c r="AS60" s="28"/>
      <c r="AT60" s="28"/>
      <c r="AU60" s="12">
        <f>IF($H60=3,IF(OR($F60="DDV",$F60="DDG",$F60="DD"),'Fleet Tech - Tech'!B$3,IF($F60="CL",'Fleet Tech - Tech'!B$4,IF($F60="CA",'Fleet Tech - Tech'!B$5,IF($F60="BC",'Fleet Tech - Tech'!B$6,IF($F60="BB",'Fleet Tech - Tech'!B$7,IF($F60="CVL",'Fleet Tech - Tech'!B$8,IF($F60="CV",'Fleet Tech - Tech'!B$9,IF($F60="SS",'Fleet Tech - Tech'!B$10,IF($F60="BBV",'Fleet Tech - Tech'!B$11,IF($F60="CB",'Fleet Tech - Tech'!B$15,IF($F60="AE",'Fleet Tech - Tech'!B$16,IF($F60="IX",'Fleet Tech - Tech'!B$17,IF($F60="BM",'Fleet Tech - Tech'!B$13,IF($F60="AR",'Fleet Tech - Tech'!B$12,IF($F60="SSV",'Fleet Tech - Tech'!B$14,"nil"))))))))))))))),0)</f>
        <v>57</v>
      </c>
      <c r="AV60" s="12">
        <f>IF($H60=3,IF(OR($F60="DDV",$F60="DDG",$F60="DD"),'Fleet Tech - Tech'!C$3,IF($F60="CL",'Fleet Tech - Tech'!C$4,IF($F60="CA",'Fleet Tech - Tech'!C$5,IF($F60="BC",'Fleet Tech - Tech'!C$6,IF($F60="BB",'Fleet Tech - Tech'!C$7,IF($F60="CVL",'Fleet Tech - Tech'!C$8,IF($F60="CV",'Fleet Tech - Tech'!C$9,IF($F60="SS",'Fleet Tech - Tech'!C$10,IF($F60="BBV",'Fleet Tech - Tech'!C$11,IF($F60="CB",'Fleet Tech - Tech'!C$15,IF($F60="AE",'Fleet Tech - Tech'!C$16,IF($F60="IX",'Fleet Tech - Tech'!C$17,IF($F60="BM",'Fleet Tech - Tech'!C$13,IF($F60="AR",'Fleet Tech - Tech'!C$12,IF($F60="SSV",'Fleet Tech - Tech'!C$14,"nil"))))))))))))))),0)</f>
        <v>3</v>
      </c>
      <c r="AW60" s="12">
        <f>IF($H60=3,IF(OR($F60="DDV",$F60="DDG",$F60="DD"),'Fleet Tech - Tech'!D$3,IF($F60="CL",'Fleet Tech - Tech'!D$4,IF($F60="CA",'Fleet Tech - Tech'!D$5,IF($F60="BC",'Fleet Tech - Tech'!D$6,IF($F60="BB",'Fleet Tech - Tech'!D$7,IF($F60="CVL",'Fleet Tech - Tech'!D$8,IF($F60="CV",'Fleet Tech - Tech'!D$9,IF($F60="SS",'Fleet Tech - Tech'!D$10,IF($F60="BBV",'Fleet Tech - Tech'!D$11,IF($F60="CB",'Fleet Tech - Tech'!D$15,IF($F60="AE",'Fleet Tech - Tech'!D$16,IF($F60="IX",'Fleet Tech - Tech'!D$17,IF($F60="BM",'Fleet Tech - Tech'!D$13,IF($F60="AR",'Fleet Tech - Tech'!D$12,IF($F60="SSV",'Fleet Tech - Tech'!D$14,"nil"))))))))))))))),0)</f>
        <v>0</v>
      </c>
      <c r="AX60" s="12">
        <f>IF($H60=3,IF(OR($F60="DDV",$F60="DDG",$F60="DD"),'Fleet Tech - Tech'!E$3,IF($F60="CL",'Fleet Tech - Tech'!E$4,IF($F60="CA",'Fleet Tech - Tech'!E$5,IF($F60="BC",'Fleet Tech - Tech'!E$6,IF($F60="BB",'Fleet Tech - Tech'!E$7,IF($F60="CVL",'Fleet Tech - Tech'!E$8,IF($F60="CV",'Fleet Tech - Tech'!E$9,IF($F60="SS",'Fleet Tech - Tech'!E$10,IF($F60="BBV",'Fleet Tech - Tech'!E$11,IF($F60="CB",'Fleet Tech - Tech'!E$15,IF($F60="AE",'Fleet Tech - Tech'!E$16,IF($F60="IX",'Fleet Tech - Tech'!E$17,IF($F60="BM",'Fleet Tech - Tech'!E$13,IF($F60="AR",'Fleet Tech - Tech'!E$12,IF($F60="SSV",'Fleet Tech - Tech'!E$14,"nil"))))))))))))))),0)</f>
        <v>0</v>
      </c>
      <c r="AY60" s="12">
        <f>IF($H60=3,IF(OR($F60="DDV",$F60="DDG",$F60="DD"),'Fleet Tech - Tech'!F$3,IF($F60="CL",'Fleet Tech - Tech'!F$4,IF($F60="CA",'Fleet Tech - Tech'!F$5,IF($F60="BC",'Fleet Tech - Tech'!F$6,IF($F60="BB",'Fleet Tech - Tech'!F$7,IF($F60="CVL",'Fleet Tech - Tech'!F$8,IF($F60="CV",'Fleet Tech - Tech'!F$9,IF($F60="SS",'Fleet Tech - Tech'!F$10,IF($F60="BBV",'Fleet Tech - Tech'!F$11,IF($F60="CB",'Fleet Tech - Tech'!F$15,IF($F60="AE",'Fleet Tech - Tech'!F$16,IF($F60="IX",'Fleet Tech - Tech'!F$17,IF($F60="BM",'Fleet Tech - Tech'!F$13,IF($F60="AR",'Fleet Tech - Tech'!F$12,IF($F60="SSV",'Fleet Tech - Tech'!F$14,"nil"))))))))))))))),0)</f>
        <v>0</v>
      </c>
      <c r="AZ60" s="12">
        <f>IF($H60=3,IF(OR($F60="DDV",$F60="DDG",$F60="DD"),'Fleet Tech - Tech'!G$3,IF($F60="CL",'Fleet Tech - Tech'!G$4,IF($F60="CA",'Fleet Tech - Tech'!G$5,IF($F60="BC",'Fleet Tech - Tech'!G$6,IF($F60="BB",'Fleet Tech - Tech'!G$7,IF($F60="CVL",'Fleet Tech - Tech'!G$8,IF($F60="CV",'Fleet Tech - Tech'!G$9,IF($F60="SS",'Fleet Tech - Tech'!G$10,IF($F60="BBV",'Fleet Tech - Tech'!G$11,IF($F60="CB",'Fleet Tech - Tech'!G$15,IF($F60="AE",'Fleet Tech - Tech'!G$16,IF($F60="IX",'Fleet Tech - Tech'!G$17,IF($F60="BM",'Fleet Tech - Tech'!G$13,IF($F60="AR",'Fleet Tech - Tech'!G$12,IF($F60="SSV",'Fleet Tech - Tech'!G$14,"nil"))))))))))))))),0)</f>
        <v>6</v>
      </c>
      <c r="BA60" s="12">
        <f>IF($H60=3,IF(OR($F60="DDV",$F60="DDG",$F60="DD"),'Fleet Tech - Tech'!H$3,IF($F60="CL",'Fleet Tech - Tech'!H$4,IF($F60="CA",'Fleet Tech - Tech'!H$5,IF($F60="BC",'Fleet Tech - Tech'!H$6,IF($F60="BB",'Fleet Tech - Tech'!H$7,IF($F60="CVL",'Fleet Tech - Tech'!H$8,IF($F60="CV",'Fleet Tech - Tech'!H$9,IF($F60="SS",'Fleet Tech - Tech'!H$10,IF($F60="BBV",'Fleet Tech - Tech'!H$11,IF($F60="CB",'Fleet Tech - Tech'!H$15,IF($F60="AE",'Fleet Tech - Tech'!H$16,IF($F60="IX",'Fleet Tech - Tech'!H$17,IF($F60="BM",'Fleet Tech - Tech'!H$13,IF($F60="AR",'Fleet Tech - Tech'!H$12,IF($F60="SSV",'Fleet Tech - Tech'!H$14,"nil"))))))))))))))),0)</f>
        <v>0</v>
      </c>
      <c r="BB60" s="12">
        <f>IF($H60=3,IF(OR($F60="DDV",$F60="DDG",$F60="DD"),'Fleet Tech - Tech'!I$3,IF($F60="CL",'Fleet Tech - Tech'!I$4,IF($F60="CA",'Fleet Tech - Tech'!I$5,IF($F60="BC",'Fleet Tech - Tech'!I$6,IF($F60="BB",'Fleet Tech - Tech'!I$7,IF($F60="CVL",'Fleet Tech - Tech'!I$8,IF($F60="CV",'Fleet Tech - Tech'!I$9,IF($F60="SS",'Fleet Tech - Tech'!I$10,IF($F60="BBV",'Fleet Tech - Tech'!I$11,IF($F60="CB",'Fleet Tech - Tech'!I$15,IF($F60="AE",'Fleet Tech - Tech'!I$16,IF($F60="IX",'Fleet Tech - Tech'!I$17,IF($F60="BM",'Fleet Tech - Tech'!I$13,IF($F60="AR",'Fleet Tech - Tech'!I$12,IF($F60="SSV",'Fleet Tech - Tech'!I$14,"nil"))))))))))))))),0)</f>
        <v>0</v>
      </c>
      <c r="BC60" s="12">
        <f>IF($H60=3,IF(OR($F60="DDV",$F60="DDG",$F60="DD"),'Fleet Tech - Tech'!J$3,IF($F60="CL",'Fleet Tech - Tech'!J$4,IF($F60="CA",'Fleet Tech - Tech'!J$5,IF($F60="BC",'Fleet Tech - Tech'!J$6,IF($F60="BB",'Fleet Tech - Tech'!J$7,IF($F60="CVL",'Fleet Tech - Tech'!J$8,IF($F60="CV",'Fleet Tech - Tech'!J$9,IF($F60="SS",'Fleet Tech - Tech'!J$10,IF($F60="BBV",'Fleet Tech - Tech'!J$11,IF($F60="CB",'Fleet Tech - Tech'!J$15,IF($F60="AE",'Fleet Tech - Tech'!J$16,IF($F60="IX",'Fleet Tech - Tech'!J$17,IF($F60="BM",'Fleet Tech - Tech'!J$13,IF($F60="AR",'Fleet Tech - Tech'!J$12,IF($F60="SSV",'Fleet Tech - Tech'!J$14,"nil"))))))))))))))),0)</f>
        <v>0</v>
      </c>
      <c r="BD60" s="12">
        <f>IF($H60=3,IF(OR($F60="DDV",$F60="DDG",$F60="DD"),'Fleet Tech - Tech'!K$3,IF($F60="CL",'Fleet Tech - Tech'!K$4,IF($F60="CA",'Fleet Tech - Tech'!K$5,IF($F60="BC",'Fleet Tech - Tech'!K$6,IF($F60="BB",'Fleet Tech - Tech'!K$7,IF($F60="CVL",'Fleet Tech - Tech'!K$8,IF($F60="CV",'Fleet Tech - Tech'!K$9,IF($F60="SS",'Fleet Tech - Tech'!K$10,IF($F60="BBV",'Fleet Tech - Tech'!K$11,IF($F60="CB",'Fleet Tech - Tech'!K$15,IF($F60="AE",'Fleet Tech - Tech'!K$16,IF($F60="IX",'Fleet Tech - Tech'!K$17,IF($F60="BM",'Fleet Tech - Tech'!K$13,IF($F60="AR",'Fleet Tech - Tech'!K$12,IF($F60="SSV",'Fleet Tech - Tech'!K$14,"nil"))))))))))))))),0)</f>
        <v>0</v>
      </c>
      <c r="BE60" s="12">
        <f>IF($H60=3,IF(OR($F60="DDV",$F60="DDG",$F60="DD"),'Fleet Tech - Tech'!L$3,IF($F60="CL",'Fleet Tech - Tech'!L$4,IF($F60="CA",'Fleet Tech - Tech'!L$5,IF($F60="BC",'Fleet Tech - Tech'!L$6,IF($F60="BB",'Fleet Tech - Tech'!L$7,IF($F60="CVL",'Fleet Tech - Tech'!L$8,IF($F60="CV",'Fleet Tech - Tech'!L$9,IF($F60="SS",'Fleet Tech - Tech'!L$10,IF($F60="BBV",'Fleet Tech - Tech'!L$11,IF($F60="CB",'Fleet Tech - Tech'!L$15,IF($F60="AE",'Fleet Tech - Tech'!L$16,IF($F60="IX",'Fleet Tech - Tech'!L$17,IF($F60="BM",'Fleet Tech - Tech'!L$13,IF($F60="AR",'Fleet Tech - Tech'!L$12,IF($F60="SSV",'Fleet Tech - Tech'!L$14,"nil"))))))))))))))),0)</f>
        <v>1</v>
      </c>
      <c r="BF60" s="12">
        <f>IF($H60=3,IF(OR($F60="DDV",$F60="DDG",$F60="DD"),'Fleet Tech - Tech'!M$3,IF($F60="CL",'Fleet Tech - Tech'!M$4,IF($F60="CA",'Fleet Tech - Tech'!M$5,IF($F60="BC",'Fleet Tech - Tech'!M$6,IF($F60="BB",'Fleet Tech - Tech'!M$7,IF($F60="CVL",'Fleet Tech - Tech'!M$8,IF($F60="CV",'Fleet Tech - Tech'!M$9,IF($F60="SS",'Fleet Tech - Tech'!M$10,IF($F60="BBV",'Fleet Tech - Tech'!M$11,IF($F60="CB",'Fleet Tech - Tech'!M$15,IF($F60="AE",'Fleet Tech - Tech'!M$16,IF($F60="IX",'Fleet Tech - Tech'!M$17,IF($F60="BM",'Fleet Tech - Tech'!M$13,IF($F60="AR",'Fleet Tech - Tech'!M$12,IF($F60="SSV",'Fleet Tech - Tech'!M$14,"nil"))))))))))))))),0)</f>
        <v>0</v>
      </c>
      <c r="BG60" s="12">
        <f>IF($H60=3,IF(OR($F60="DDV",$F60="DDG",$F60="DD"),'Fleet Tech - Tech'!N$3,IF($F60="CL",'Fleet Tech - Tech'!N$4,IF($F60="CA",'Fleet Tech - Tech'!N$5,IF($F60="BC",'Fleet Tech - Tech'!N$6,IF($F60="BB",'Fleet Tech - Tech'!N$7,IF($F60="CVL",'Fleet Tech - Tech'!N$8,IF($F60="CV",'Fleet Tech - Tech'!N$9,IF($F60="SS",'Fleet Tech - Tech'!N$10,IF($F60="BBV",'Fleet Tech - Tech'!N$11,IF($F60="CB",'Fleet Tech - Tech'!N$15,IF($F60="AE",'Fleet Tech - Tech'!N$16,IF($F60="IX",'Fleet Tech - Tech'!N$17,IF($F60="BM",'Fleet Tech - Tech'!N$13,IF($F60="AR",'Fleet Tech - Tech'!N$12,IF($F60="SSV",'Fleet Tech - Tech'!N$14,"nil"))))))))))))))),0)</f>
        <v>0</v>
      </c>
      <c r="BH60" s="28"/>
      <c r="BI60" s="28"/>
      <c r="BJ60" s="28"/>
      <c r="BK60" s="28"/>
      <c r="BL60" s="28"/>
      <c r="BM60" s="28"/>
      <c r="BN60" s="28"/>
      <c r="BO60" s="28"/>
      <c r="BP60" s="28"/>
      <c r="BQ60" s="28"/>
      <c r="BR60" s="28"/>
      <c r="BS60" s="28"/>
      <c r="BT60" s="28"/>
      <c r="BU60" s="28"/>
      <c r="BV60" s="28"/>
      <c r="BW60" s="28"/>
      <c r="BX60" s="12">
        <v>-1</v>
      </c>
      <c r="BY60" s="12">
        <v>-1</v>
      </c>
      <c r="BZ60" s="12">
        <v>-1</v>
      </c>
      <c r="CA60" s="12">
        <v>-1</v>
      </c>
      <c r="CB60" s="12">
        <v>-1</v>
      </c>
      <c r="CC60" s="12">
        <v>-1</v>
      </c>
      <c r="CD60" s="12">
        <v>-1</v>
      </c>
      <c r="CE60" s="12">
        <v>-1</v>
      </c>
      <c r="CF60" s="12">
        <v>-1</v>
      </c>
      <c r="CG60" s="12">
        <v>-1</v>
      </c>
      <c r="CH60" s="12">
        <v>-1</v>
      </c>
      <c r="CI60" s="12">
        <v>-1</v>
      </c>
      <c r="CJ60" s="47"/>
      <c r="CK60" s="48">
        <f>IF(BX60=5,320,IF(BX60=4,195,IF(BX60=3,132,IF(BX60=2,90,IF(BX60=1,58,IF(BX60=-1,0,35))))))</f>
        <v>0</v>
      </c>
      <c r="CL60" s="48">
        <f>IF(BX60=5,20,IF(BX60=4,15,IF(BX60=3,12,IF(BX60=2,10,IF(BX60=1,8,IF(BX60=-1,0,5))))))</f>
        <v>0</v>
      </c>
      <c r="CM60" s="48">
        <f>IF(BZ60=5,320,IF(BZ60=4,195,IF(BZ60=3,132,IF(BZ60=2,90,IF(BZ60=1,58,IF(BZ60=-1,0,35))))))</f>
        <v>0</v>
      </c>
      <c r="CN60" s="48">
        <f>IF(BZ60=5,20,IF(BZ60=4,15,IF(BZ60=3,12,IF(BZ60=2,10,IF(BZ60=1,8,IF(BZ60=-1,0,5))))))</f>
        <v>0</v>
      </c>
      <c r="CO60" s="48">
        <f>IF(CB60=5,320,IF(CB60=4,195,IF(CB60=3,132,IF(CB60=2,90,IF(CB60=1,58,IF(CB60=-1,0,35))))))</f>
        <v>0</v>
      </c>
      <c r="CP60" s="48">
        <f>IF(CB60=5,20,IF(CB60=4,15,IF(CB60=3,12,IF(CB60=2,10,IF(CB60=1,8,IF(CB60=-1,0,5))))))</f>
        <v>0</v>
      </c>
      <c r="CQ60" s="48">
        <f>IF(CD60=5,320,IF(CD60=4,195,IF(CD60=3,132,IF(CD60=2,90,IF(CD60=1,58,IF(CD60=-1,0,35))))))</f>
        <v>0</v>
      </c>
      <c r="CR60" s="48">
        <f>IF(CD60=5,20,IF(CD60=4,15,IF(CD60=3,12,IF(CD60=2,10,IF(CD60=1,8,IF(CD60=-1,0,5))))))</f>
        <v>0</v>
      </c>
      <c r="CS60" s="48">
        <f>IF(CF60=5,320,IF(CF60=4,195,IF(CF60=3,132,IF(CF60=2,90,IF(CF60=1,58,IF(CF60=-1,0,35))))))</f>
        <v>0</v>
      </c>
      <c r="CT60" s="48">
        <f>IF(CF60=5,20,IF(CF60=4,15,IF(CF60=3,12,IF(CF60=2,10,IF(CF60=1,8,IF(CF60=-1,0,5))))))</f>
        <v>0</v>
      </c>
      <c r="CU60" s="48">
        <f>IF(CH60=5,320,IF(CH60=4,195,IF(CH60=3,132,IF(CH60=2,90,IF(CH60=1,58,IF(CH60=-1,0,35))))))</f>
        <v>0</v>
      </c>
      <c r="CV60" s="48">
        <f>IF(CH60=5,20,IF(CH60=4,15,IF(CH60=3,12,IF(CH60=2,10,IF(CH60=1,8,IF(CH60=-1,0,5))))))</f>
        <v>0</v>
      </c>
      <c r="CW60" s="48">
        <f>IF(BY60&gt;10,(BY60/10)-ROUNDDOWN(BY60/10,0),0)+IF(CA60&gt;10,(CA60/10)-ROUNDDOWN(CA60/10,0),0)+IF(CC60&gt;10,(CC60/10)-ROUNDDOWN(CC60/10,0),0)+IF(CE60&gt;10,(CE60/10)-ROUNDDOWN(CE60/10,0),0)+IF(CG60&gt;10,(CG60/10)-ROUNDDOWN(CG60/10,0),0)+IF(CI60&gt;10,(CI60/10)-ROUNDDOWN(CI60/10,0),0)</f>
        <v>0</v>
      </c>
      <c r="CX60" s="48">
        <f>1+(CW60/10)</f>
        <v>1</v>
      </c>
    </row>
    <row r="61" ht="20.05" customHeight="1">
      <c r="A61" t="s" s="43">
        <v>340</v>
      </c>
      <c r="B61" s="49"/>
      <c r="C61" t="s" s="45">
        <v>279</v>
      </c>
      <c r="D61" s="13">
        <v>7</v>
      </c>
      <c r="E61" t="s" s="15">
        <v>240</v>
      </c>
      <c r="F61" t="s" s="15">
        <v>280</v>
      </c>
      <c r="G61" t="s" s="15">
        <v>282</v>
      </c>
      <c r="H61" s="12">
        <v>3</v>
      </c>
      <c r="I61" t="s" s="15">
        <v>235</v>
      </c>
      <c r="J61" s="12">
        <v>73</v>
      </c>
      <c r="K61" t="s" s="14">
        <v>264</v>
      </c>
      <c r="L61" t="s" s="15">
        <v>237</v>
      </c>
      <c r="M61" t="s" s="15">
        <v>19</v>
      </c>
      <c r="N61" s="46">
        <f>ROUND((SUM(AA61,T61:Y61,AC61:AE61,Z61*10)-AB61*15)*(IF(K61="Heavy",0.15,IF(K61="Medium",0,IF(K61="Light",-0.15,10)))+1),0)</f>
        <v>592</v>
      </c>
      <c r="O61" s="46">
        <v>2218</v>
      </c>
      <c r="P61" s="46">
        <f>ROUNDDOWN((BI61+AU61+AG61)/5,0)+(BJ61+AV61+AH61)+(BN61+AZ61+AL61)+(BO61+BA61+AM61)+(BK61+AW61+AI61)+(BS61+BE61+AQ61)+(BL61+AX61+AJ61)+(BQ61+BC61+AO61)+(2*((BT61+BF61+AR61)+(BU61+BG61+AS61)))+(CK61+CM61+CO61+CQ61+CS61+CU61)+(CL61*BY61)+(CN61*CA61)+(CP61+CC61)+(CR61+CE61)+(CT61+CG61)+(CV61+CI61)+BV61</f>
        <v>2549</v>
      </c>
      <c r="Q61" s="46">
        <f>ROUNDDOWN(((S61/5)+T61+X61+Y61+U61+AC61+V61+AA61+(2*(AD61+AE61))+CK61+CM61+CO61+CQ61+CS61+CU61+(CL61*BX61)+(CN61*BZ61)+(CP61*CB61)+(CR61*CD61)+(CT61*CF61)+(CV61*CH61))*CX61,0)</f>
        <v>2173</v>
      </c>
      <c r="R61" s="46">
        <f>ROUNDDOWN(AVERAGE(P61:Q61),0)</f>
        <v>2361</v>
      </c>
      <c r="S61" s="12">
        <f>AG61+AU61+BI61</f>
        <v>6024</v>
      </c>
      <c r="T61" s="12">
        <f>AH61+AV61+BJ61</f>
        <v>317</v>
      </c>
      <c r="U61" s="12">
        <f>AI61+AW61+BK61</f>
        <v>141</v>
      </c>
      <c r="V61" s="12">
        <f>AJ61+AX61+BL61</f>
        <v>0</v>
      </c>
      <c r="W61" s="12">
        <f>AK61+AY61+BM61</f>
        <v>71</v>
      </c>
      <c r="X61" s="12">
        <f>AL61+AZ61+BN61</f>
        <v>0</v>
      </c>
      <c r="Y61" s="12">
        <f>AM61+BA61+BO61</f>
        <v>0</v>
      </c>
      <c r="Z61" s="12">
        <f>AN61+BB61+BP61</f>
        <v>0</v>
      </c>
      <c r="AA61" s="12">
        <f>AO61+BC61+BQ61</f>
        <v>25</v>
      </c>
      <c r="AB61" s="12">
        <f>AP61+BD61+BR61</f>
        <v>13</v>
      </c>
      <c r="AC61" s="12">
        <f>AQ61+BE61+BS61</f>
        <v>81</v>
      </c>
      <c r="AD61" s="12">
        <f>AR61+BF61+BT61</f>
        <v>24</v>
      </c>
      <c r="AE61" s="12">
        <f>AS61+BG61+BU61</f>
        <v>51</v>
      </c>
      <c r="AF61" s="28"/>
      <c r="AG61" s="28"/>
      <c r="AH61" s="12">
        <v>45</v>
      </c>
      <c r="AI61" s="28"/>
      <c r="AJ61" s="28"/>
      <c r="AK61" s="28"/>
      <c r="AL61" s="28"/>
      <c r="AM61" s="28"/>
      <c r="AN61" s="28"/>
      <c r="AO61" s="28"/>
      <c r="AP61" s="28"/>
      <c r="AQ61" s="28"/>
      <c r="AR61" s="28"/>
      <c r="AS61" s="28"/>
      <c r="AT61" s="28"/>
      <c r="AU61" s="12">
        <f>IF($H61=3,IF(OR($F61="DDV",$F61="DDG",$F61="DD"),'Fleet Tech - Tech'!B$3,IF($F61="CL",'Fleet Tech - Tech'!B$4,IF($F61="CA",'Fleet Tech - Tech'!B$5,IF($F61="BC",'Fleet Tech - Tech'!B$6,IF($F61="BB",'Fleet Tech - Tech'!B$7,IF($F61="CVL",'Fleet Tech - Tech'!B$8,IF($F61="CV",'Fleet Tech - Tech'!B$9,IF($F61="SS",'Fleet Tech - Tech'!B$10,IF($F61="BBV",'Fleet Tech - Tech'!B$11,IF($F61="CB",'Fleet Tech - Tech'!B$15,IF($F61="AE",'Fleet Tech - Tech'!B$16,IF($F61="IX",'Fleet Tech - Tech'!B$17,IF($F61="BM",'Fleet Tech - Tech'!B$13,IF($F61="AR",'Fleet Tech - Tech'!B$12,IF($F61="SSV",'Fleet Tech - Tech'!B$14,"nil"))))))))))))))),0)</f>
        <v>82</v>
      </c>
      <c r="AV61" s="12">
        <f>IF($H61=3,IF(OR($F61="DDV",$F61="DDG",$F61="DD"),'Fleet Tech - Tech'!C$3,IF($F61="CL",'Fleet Tech - Tech'!C$4,IF($F61="CA",'Fleet Tech - Tech'!C$5,IF($F61="BC",'Fleet Tech - Tech'!C$6,IF($F61="BB",'Fleet Tech - Tech'!C$7,IF($F61="CVL",'Fleet Tech - Tech'!C$8,IF($F61="CV",'Fleet Tech - Tech'!C$9,IF($F61="SS",'Fleet Tech - Tech'!C$10,IF($F61="BBV",'Fleet Tech - Tech'!C$11,IF($F61="CB",'Fleet Tech - Tech'!C$15,IF($F61="AE",'Fleet Tech - Tech'!C$16,IF($F61="IX",'Fleet Tech - Tech'!C$17,IF($F61="BM",'Fleet Tech - Tech'!C$13,IF($F61="AR",'Fleet Tech - Tech'!C$12,IF($F61="SSV",'Fleet Tech - Tech'!C$14,"nil"))))))))))))))),0)</f>
        <v>2</v>
      </c>
      <c r="AW61" s="12">
        <f>IF($H61=3,IF(OR($F61="DDV",$F61="DDG",$F61="DD"),'Fleet Tech - Tech'!D$3,IF($F61="CL",'Fleet Tech - Tech'!D$4,IF($F61="CA",'Fleet Tech - Tech'!D$5,IF($F61="BC",'Fleet Tech - Tech'!D$6,IF($F61="BB",'Fleet Tech - Tech'!D$7,IF($F61="CVL",'Fleet Tech - Tech'!D$8,IF($F61="CV",'Fleet Tech - Tech'!D$9,IF($F61="SS",'Fleet Tech - Tech'!D$10,IF($F61="BBV",'Fleet Tech - Tech'!D$11,IF($F61="CB",'Fleet Tech - Tech'!D$15,IF($F61="AE",'Fleet Tech - Tech'!D$16,IF($F61="IX",'Fleet Tech - Tech'!D$17,IF($F61="BM",'Fleet Tech - Tech'!D$13,IF($F61="AR",'Fleet Tech - Tech'!D$12,IF($F61="SSV",'Fleet Tech - Tech'!D$14,"nil"))))))))))))))),0)</f>
        <v>4</v>
      </c>
      <c r="AX61" s="12">
        <f>IF($H61=3,IF(OR($F61="DDV",$F61="DDG",$F61="DD"),'Fleet Tech - Tech'!E$3,IF($F61="CL",'Fleet Tech - Tech'!E$4,IF($F61="CA",'Fleet Tech - Tech'!E$5,IF($F61="BC",'Fleet Tech - Tech'!E$6,IF($F61="BB",'Fleet Tech - Tech'!E$7,IF($F61="CVL",'Fleet Tech - Tech'!E$8,IF($F61="CV",'Fleet Tech - Tech'!E$9,IF($F61="SS",'Fleet Tech - Tech'!E$10,IF($F61="BBV",'Fleet Tech - Tech'!E$11,IF($F61="CB",'Fleet Tech - Tech'!E$15,IF($F61="AE",'Fleet Tech - Tech'!E$16,IF($F61="IX",'Fleet Tech - Tech'!E$17,IF($F61="BM",'Fleet Tech - Tech'!E$13,IF($F61="AR",'Fleet Tech - Tech'!E$12,IF($F61="SSV",'Fleet Tech - Tech'!E$14,"nil"))))))))))))))),0)</f>
        <v>0</v>
      </c>
      <c r="AY61" s="12">
        <f>IF($H61=3,IF(OR($F61="DDV",$F61="DDG",$F61="DD"),'Fleet Tech - Tech'!F$3,IF($F61="CL",'Fleet Tech - Tech'!F$4,IF($F61="CA",'Fleet Tech - Tech'!F$5,IF($F61="BC",'Fleet Tech - Tech'!F$6,IF($F61="BB",'Fleet Tech - Tech'!F$7,IF($F61="CVL",'Fleet Tech - Tech'!F$8,IF($F61="CV",'Fleet Tech - Tech'!F$9,IF($F61="SS",'Fleet Tech - Tech'!F$10,IF($F61="BBV",'Fleet Tech - Tech'!F$11,IF($F61="CB",'Fleet Tech - Tech'!F$15,IF($F61="AE",'Fleet Tech - Tech'!F$16,IF($F61="IX",'Fleet Tech - Tech'!F$17,IF($F61="BM",'Fleet Tech - Tech'!F$13,IF($F61="AR",'Fleet Tech - Tech'!F$12,IF($F61="SSV",'Fleet Tech - Tech'!F$14,"nil"))))))))))))))),0)</f>
        <v>0</v>
      </c>
      <c r="AZ61" s="12">
        <f>IF($H61=3,IF(OR($F61="DDV",$F61="DDG",$F61="DD"),'Fleet Tech - Tech'!G$3,IF($F61="CL",'Fleet Tech - Tech'!G$4,IF($F61="CA",'Fleet Tech - Tech'!G$5,IF($F61="BC",'Fleet Tech - Tech'!G$6,IF($F61="BB",'Fleet Tech - Tech'!G$7,IF($F61="CVL",'Fleet Tech - Tech'!G$8,IF($F61="CV",'Fleet Tech - Tech'!G$9,IF($F61="SS",'Fleet Tech - Tech'!G$10,IF($F61="BBV",'Fleet Tech - Tech'!G$11,IF($F61="CB",'Fleet Tech - Tech'!G$15,IF($F61="AE",'Fleet Tech - Tech'!G$16,IF($F61="IX",'Fleet Tech - Tech'!G$17,IF($F61="BM",'Fleet Tech - Tech'!G$13,IF($F61="AR",'Fleet Tech - Tech'!G$12,IF($F61="SSV",'Fleet Tech - Tech'!G$14,"nil"))))))))))))))),0)</f>
        <v>0</v>
      </c>
      <c r="BA61" s="12">
        <f>IF($H61=3,IF(OR($F61="DDV",$F61="DDG",$F61="DD"),'Fleet Tech - Tech'!H$3,IF($F61="CL",'Fleet Tech - Tech'!H$4,IF($F61="CA",'Fleet Tech - Tech'!H$5,IF($F61="BC",'Fleet Tech - Tech'!H$6,IF($F61="BB",'Fleet Tech - Tech'!H$7,IF($F61="CVL",'Fleet Tech - Tech'!H$8,IF($F61="CV",'Fleet Tech - Tech'!H$9,IF($F61="SS",'Fleet Tech - Tech'!H$10,IF($F61="BBV",'Fleet Tech - Tech'!H$11,IF($F61="CB",'Fleet Tech - Tech'!H$15,IF($F61="AE",'Fleet Tech - Tech'!H$16,IF($F61="IX",'Fleet Tech - Tech'!H$17,IF($F61="BM",'Fleet Tech - Tech'!H$13,IF($F61="AR",'Fleet Tech - Tech'!H$12,IF($F61="SSV",'Fleet Tech - Tech'!H$14,"nil"))))))))))))))),0)</f>
        <v>0</v>
      </c>
      <c r="BB61" s="12">
        <f>IF($H61=3,IF(OR($F61="DDV",$F61="DDG",$F61="DD"),'Fleet Tech - Tech'!I$3,IF($F61="CL",'Fleet Tech - Tech'!I$4,IF($F61="CA",'Fleet Tech - Tech'!I$5,IF($F61="BC",'Fleet Tech - Tech'!I$6,IF($F61="BB",'Fleet Tech - Tech'!I$7,IF($F61="CVL",'Fleet Tech - Tech'!I$8,IF($F61="CV",'Fleet Tech - Tech'!I$9,IF($F61="SS",'Fleet Tech - Tech'!I$10,IF($F61="BBV",'Fleet Tech - Tech'!I$11,IF($F61="CB",'Fleet Tech - Tech'!I$15,IF($F61="AE",'Fleet Tech - Tech'!I$16,IF($F61="IX",'Fleet Tech - Tech'!I$17,IF($F61="BM",'Fleet Tech - Tech'!I$13,IF($F61="AR",'Fleet Tech - Tech'!I$12,IF($F61="SSV",'Fleet Tech - Tech'!I$14,"nil"))))))))))))))),0)</f>
        <v>0</v>
      </c>
      <c r="BC61" s="12">
        <f>IF($H61=3,IF(OR($F61="DDV",$F61="DDG",$F61="DD"),'Fleet Tech - Tech'!J$3,IF($F61="CL",'Fleet Tech - Tech'!J$4,IF($F61="CA",'Fleet Tech - Tech'!J$5,IF($F61="BC",'Fleet Tech - Tech'!J$6,IF($F61="BB",'Fleet Tech - Tech'!J$7,IF($F61="CVL",'Fleet Tech - Tech'!J$8,IF($F61="CV",'Fleet Tech - Tech'!J$9,IF($F61="SS",'Fleet Tech - Tech'!J$10,IF($F61="BBV",'Fleet Tech - Tech'!J$11,IF($F61="CB",'Fleet Tech - Tech'!J$15,IF($F61="AE",'Fleet Tech - Tech'!J$16,IF($F61="IX",'Fleet Tech - Tech'!J$17,IF($F61="BM",'Fleet Tech - Tech'!J$13,IF($F61="AR",'Fleet Tech - Tech'!J$12,IF($F61="SSV",'Fleet Tech - Tech'!J$14,"nil"))))))))))))))),0)</f>
        <v>0</v>
      </c>
      <c r="BD61" s="12">
        <f>IF($H61=3,IF(OR($F61="DDV",$F61="DDG",$F61="DD"),'Fleet Tech - Tech'!K$3,IF($F61="CL",'Fleet Tech - Tech'!K$4,IF($F61="CA",'Fleet Tech - Tech'!K$5,IF($F61="BC",'Fleet Tech - Tech'!K$6,IF($F61="BB",'Fleet Tech - Tech'!K$7,IF($F61="CVL",'Fleet Tech - Tech'!K$8,IF($F61="CV",'Fleet Tech - Tech'!K$9,IF($F61="SS",'Fleet Tech - Tech'!K$10,IF($F61="BBV",'Fleet Tech - Tech'!K$11,IF($F61="CB",'Fleet Tech - Tech'!K$15,IF($F61="AE",'Fleet Tech - Tech'!K$16,IF($F61="IX",'Fleet Tech - Tech'!K$17,IF($F61="BM",'Fleet Tech - Tech'!K$13,IF($F61="AR",'Fleet Tech - Tech'!K$12,IF($F61="SSV",'Fleet Tech - Tech'!K$14,"nil"))))))))))))))),0)</f>
        <v>0</v>
      </c>
      <c r="BE61" s="12">
        <f>IF($H61=3,IF(OR($F61="DDV",$F61="DDG",$F61="DD"),'Fleet Tech - Tech'!L$3,IF($F61="CL",'Fleet Tech - Tech'!L$4,IF($F61="CA",'Fleet Tech - Tech'!L$5,IF($F61="BC",'Fleet Tech - Tech'!L$6,IF($F61="BB",'Fleet Tech - Tech'!L$7,IF($F61="CVL",'Fleet Tech - Tech'!L$8,IF($F61="CV",'Fleet Tech - Tech'!L$9,IF($F61="SS",'Fleet Tech - Tech'!L$10,IF($F61="BBV",'Fleet Tech - Tech'!L$11,IF($F61="CB",'Fleet Tech - Tech'!L$15,IF($F61="AE",'Fleet Tech - Tech'!L$16,IF($F61="IX",'Fleet Tech - Tech'!L$17,IF($F61="BM",'Fleet Tech - Tech'!L$13,IF($F61="AR",'Fleet Tech - Tech'!L$12,IF($F61="SSV",'Fleet Tech - Tech'!L$14,"nil"))))))))))))))),0)</f>
        <v>0</v>
      </c>
      <c r="BF61" s="12">
        <f>IF($H61=3,IF(OR($F61="DDV",$F61="DDG",$F61="DD"),'Fleet Tech - Tech'!M$3,IF($F61="CL",'Fleet Tech - Tech'!M$4,IF($F61="CA",'Fleet Tech - Tech'!M$5,IF($F61="BC",'Fleet Tech - Tech'!M$6,IF($F61="BB",'Fleet Tech - Tech'!M$7,IF($F61="CVL",'Fleet Tech - Tech'!M$8,IF($F61="CV",'Fleet Tech - Tech'!M$9,IF($F61="SS",'Fleet Tech - Tech'!M$10,IF($F61="BBV",'Fleet Tech - Tech'!M$11,IF($F61="CB",'Fleet Tech - Tech'!M$15,IF($F61="AE",'Fleet Tech - Tech'!M$16,IF($F61="IX",'Fleet Tech - Tech'!M$17,IF($F61="BM",'Fleet Tech - Tech'!M$13,IF($F61="AR",'Fleet Tech - Tech'!M$12,IF($F61="SSV",'Fleet Tech - Tech'!M$14,"nil"))))))))))))))),0)</f>
        <v>0</v>
      </c>
      <c r="BG61" s="12">
        <f>IF($H61=3,IF(OR($F61="DDV",$F61="DDG",$F61="DD"),'Fleet Tech - Tech'!N$3,IF($F61="CL",'Fleet Tech - Tech'!N$4,IF($F61="CA",'Fleet Tech - Tech'!N$5,IF($F61="BC",'Fleet Tech - Tech'!N$6,IF($F61="BB",'Fleet Tech - Tech'!N$7,IF($F61="CVL",'Fleet Tech - Tech'!N$8,IF($F61="CV",'Fleet Tech - Tech'!N$9,IF($F61="SS",'Fleet Tech - Tech'!N$10,IF($F61="BBV",'Fleet Tech - Tech'!N$11,IF($F61="CB",'Fleet Tech - Tech'!N$15,IF($F61="AE",'Fleet Tech - Tech'!N$16,IF($F61="IX",'Fleet Tech - Tech'!N$17,IF($F61="BM",'Fleet Tech - Tech'!N$13,IF($F61="AR",'Fleet Tech - Tech'!N$12,IF($F61="SSV",'Fleet Tech - Tech'!N$14,"nil"))))))))))))))),0)</f>
        <v>2</v>
      </c>
      <c r="BH61" s="28"/>
      <c r="BI61" s="12">
        <v>5942</v>
      </c>
      <c r="BJ61" s="12">
        <v>270</v>
      </c>
      <c r="BK61" s="12">
        <v>137</v>
      </c>
      <c r="BL61" s="28"/>
      <c r="BM61" s="12">
        <v>71</v>
      </c>
      <c r="BN61" s="28"/>
      <c r="BO61" s="28"/>
      <c r="BP61" s="28"/>
      <c r="BQ61" s="12">
        <v>25</v>
      </c>
      <c r="BR61" s="12">
        <v>13</v>
      </c>
      <c r="BS61" s="12">
        <v>81</v>
      </c>
      <c r="BT61" s="12">
        <v>24</v>
      </c>
      <c r="BU61" s="12">
        <v>49</v>
      </c>
      <c r="BV61" s="12">
        <v>335</v>
      </c>
      <c r="BW61" s="28"/>
      <c r="BX61" s="12">
        <v>4</v>
      </c>
      <c r="BY61" s="12">
        <v>7</v>
      </c>
      <c r="BZ61" s="12">
        <v>-1</v>
      </c>
      <c r="CA61" s="12">
        <v>-1</v>
      </c>
      <c r="CB61" s="12">
        <v>-1</v>
      </c>
      <c r="CC61" s="12">
        <v>-1</v>
      </c>
      <c r="CD61" s="12">
        <v>-1</v>
      </c>
      <c r="CE61" s="12">
        <v>-1</v>
      </c>
      <c r="CF61" s="12">
        <v>-1</v>
      </c>
      <c r="CG61" s="12">
        <v>-1</v>
      </c>
      <c r="CH61" s="12">
        <v>-1</v>
      </c>
      <c r="CI61" s="12">
        <v>-1</v>
      </c>
      <c r="CJ61" s="47"/>
      <c r="CK61" s="48">
        <f>IF(BX61=5,320,IF(BX61=4,195,IF(BX61=3,132,IF(BX61=2,90,IF(BX61=1,58,IF(BX61=-1,0,35))))))</f>
        <v>195</v>
      </c>
      <c r="CL61" s="48">
        <f>IF(BX61=5,20,IF(BX61=4,15,IF(BX61=3,12,IF(BX61=2,10,IF(BX61=1,8,IF(BX61=-1,0,5))))))</f>
        <v>15</v>
      </c>
      <c r="CM61" s="48">
        <f>IF(BZ61=5,320,IF(BZ61=4,195,IF(BZ61=3,132,IF(BZ61=2,90,IF(BZ61=1,58,IF(BZ61=-1,0,35))))))</f>
        <v>0</v>
      </c>
      <c r="CN61" s="48">
        <f>IF(BZ61=5,20,IF(BZ61=4,15,IF(BZ61=3,12,IF(BZ61=2,10,IF(BZ61=1,8,IF(BZ61=-1,0,5))))))</f>
        <v>0</v>
      </c>
      <c r="CO61" s="48">
        <f>IF(CB61=5,320,IF(CB61=4,195,IF(CB61=3,132,IF(CB61=2,90,IF(CB61=1,58,IF(CB61=-1,0,35))))))</f>
        <v>0</v>
      </c>
      <c r="CP61" s="48">
        <f>IF(CB61=5,20,IF(CB61=4,15,IF(CB61=3,12,IF(CB61=2,10,IF(CB61=1,8,IF(CB61=-1,0,5))))))</f>
        <v>0</v>
      </c>
      <c r="CQ61" s="48">
        <f>IF(CD61=5,320,IF(CD61=4,195,IF(CD61=3,132,IF(CD61=2,90,IF(CD61=1,58,IF(CD61=-1,0,35))))))</f>
        <v>0</v>
      </c>
      <c r="CR61" s="48">
        <f>IF(CD61=5,20,IF(CD61=4,15,IF(CD61=3,12,IF(CD61=2,10,IF(CD61=1,8,IF(CD61=-1,0,5))))))</f>
        <v>0</v>
      </c>
      <c r="CS61" s="48">
        <f>IF(CF61=5,320,IF(CF61=4,195,IF(CF61=3,132,IF(CF61=2,90,IF(CF61=1,58,IF(CF61=-1,0,35))))))</f>
        <v>0</v>
      </c>
      <c r="CT61" s="48">
        <f>IF(CF61=5,20,IF(CF61=4,15,IF(CF61=3,12,IF(CF61=2,10,IF(CF61=1,8,IF(CF61=-1,0,5))))))</f>
        <v>0</v>
      </c>
      <c r="CU61" s="48">
        <f>IF(CH61=5,320,IF(CH61=4,195,IF(CH61=3,132,IF(CH61=2,90,IF(CH61=1,58,IF(CH61=-1,0,35))))))</f>
        <v>0</v>
      </c>
      <c r="CV61" s="48">
        <f>IF(CH61=5,20,IF(CH61=4,15,IF(CH61=3,12,IF(CH61=2,10,IF(CH61=1,8,IF(CH61=-1,0,5))))))</f>
        <v>0</v>
      </c>
      <c r="CW61" s="48">
        <f>IF(BY61&gt;10,(BY61/10)-ROUNDDOWN(BY61/10,0),0)+IF(CA61&gt;10,(CA61/10)-ROUNDDOWN(CA61/10,0),0)+IF(CC61&gt;10,(CC61/10)-ROUNDDOWN(CC61/10,0),0)+IF(CE61&gt;10,(CE61/10)-ROUNDDOWN(CE61/10,0),0)+IF(CG61&gt;10,(CG61/10)-ROUNDDOWN(CG61/10,0),0)+IF(CI61&gt;10,(CI61/10)-ROUNDDOWN(CI61/10,0),0)</f>
        <v>0</v>
      </c>
      <c r="CX61" s="48">
        <f>1+(CW61/10)</f>
        <v>1</v>
      </c>
    </row>
    <row r="62" ht="20.05" customHeight="1">
      <c r="A62" t="s" s="43">
        <v>341</v>
      </c>
      <c r="B62" s="49"/>
      <c r="C62" t="s" s="45">
        <v>279</v>
      </c>
      <c r="D62" s="13">
        <v>7</v>
      </c>
      <c r="E62" t="s" s="15">
        <v>240</v>
      </c>
      <c r="F62" t="s" s="15">
        <v>280</v>
      </c>
      <c r="G62" t="s" s="15">
        <v>282</v>
      </c>
      <c r="H62" s="12">
        <v>3</v>
      </c>
      <c r="I62" t="s" s="15">
        <v>277</v>
      </c>
      <c r="J62" s="12">
        <v>73</v>
      </c>
      <c r="K62" t="s" s="14">
        <v>264</v>
      </c>
      <c r="L62" t="s" s="15">
        <v>265</v>
      </c>
      <c r="M62" t="s" s="15">
        <v>69</v>
      </c>
      <c r="N62" s="46">
        <f>ROUND((SUM(AA62,T62:Y62,AC62:AE62,Z62*10)-AB62*15)*(IF(K62="Heavy",0.15,IF(K62="Medium",0,IF(K62="Light",-0.15,10)))+1),0)</f>
        <v>452</v>
      </c>
      <c r="O62" s="46">
        <v>1643</v>
      </c>
      <c r="P62" s="46">
        <f>ROUNDDOWN((BI62+AU62+AG62)/5,0)+(BJ62+AV62+AH62)+(BN62+AZ62+AL62)+(BO62+BA62+AM62)+(BK62+AW62+AI62)+(BS62+BE62+AQ62)+(BL62+AX62+AJ62)+(BQ62+BC62+AO62)+(2*((BT62+BF62+AR62)+(BU62+BG62+AS62)))+(CK62+CM62+CO62+CQ62+CS62+CU62)+(CL62*BY62)+(CN62*CA62)+(CP62+CC62)+(CR62+CE62)+(CT62+CG62)+(CV62+CI62)+BV62</f>
        <v>1974</v>
      </c>
      <c r="Q62" s="46">
        <f>ROUNDDOWN(((S62/5)+T62+X62+Y62+U62+AC62+V62+AA62+(2*(AD62+AE62))+CK62+CM62+CO62+CQ62+CS62+CU62+(CL62*BX62)+(CN62*BZ62)+(CP62*CB62)+(CR62*CD62)+(CT62*CF62)+(CV62*CH62))*CX62,0)</f>
        <v>1663</v>
      </c>
      <c r="R62" s="46">
        <f>ROUNDDOWN(AVERAGE(P62:Q62),0)</f>
        <v>1818</v>
      </c>
      <c r="S62" s="12">
        <f>AG62+AU62+BI62</f>
        <v>4809</v>
      </c>
      <c r="T62" s="12">
        <f>AH62+AV62+BJ62</f>
        <v>223</v>
      </c>
      <c r="U62" s="12">
        <f>AI62+AW62+BK62</f>
        <v>135</v>
      </c>
      <c r="V62" s="12">
        <f>AJ62+AX62+BL62</f>
        <v>0</v>
      </c>
      <c r="W62" s="12">
        <f>AK62+AY62+BM62</f>
        <v>60</v>
      </c>
      <c r="X62" s="12">
        <f>AL62+AZ62+BN62</f>
        <v>0</v>
      </c>
      <c r="Y62" s="12">
        <f>AM62+BA62+BO62</f>
        <v>0</v>
      </c>
      <c r="Z62" s="12">
        <f>AN62+BB62+BP62</f>
        <v>0</v>
      </c>
      <c r="AA62" s="12">
        <f>AO62+BC62+BQ62</f>
        <v>24</v>
      </c>
      <c r="AB62" s="12">
        <f>AP62+BD62+BR62</f>
        <v>13</v>
      </c>
      <c r="AC62" s="12">
        <f>AQ62+BE62+BS62</f>
        <v>82</v>
      </c>
      <c r="AD62" s="12">
        <f>AR62+BF62+BT62</f>
        <v>19</v>
      </c>
      <c r="AE62" s="12">
        <f>AS62+BG62+BU62</f>
        <v>45</v>
      </c>
      <c r="AF62" s="28"/>
      <c r="AG62" s="28"/>
      <c r="AH62" s="12">
        <v>12</v>
      </c>
      <c r="AI62" s="28"/>
      <c r="AJ62" s="28"/>
      <c r="AK62" s="28"/>
      <c r="AL62" s="28"/>
      <c r="AM62" s="28"/>
      <c r="AN62" s="28"/>
      <c r="AO62" s="28"/>
      <c r="AP62" s="28"/>
      <c r="AQ62" s="28"/>
      <c r="AR62" s="28"/>
      <c r="AS62" s="28"/>
      <c r="AT62" s="28"/>
      <c r="AU62" s="12">
        <f>IF($H62=3,IF(OR($F62="DDV",$F62="DDG",$F62="DD"),'Fleet Tech - Tech'!B$3,IF($F62="CL",'Fleet Tech - Tech'!B$4,IF($F62="CA",'Fleet Tech - Tech'!B$5,IF($F62="BC",'Fleet Tech - Tech'!B$6,IF($F62="BB",'Fleet Tech - Tech'!B$7,IF($F62="CVL",'Fleet Tech - Tech'!B$8,IF($F62="CV",'Fleet Tech - Tech'!B$9,IF($F62="SS",'Fleet Tech - Tech'!B$10,IF($F62="BBV",'Fleet Tech - Tech'!B$11,IF($F62="CB",'Fleet Tech - Tech'!B$15,IF($F62="AE",'Fleet Tech - Tech'!B$16,IF($F62="IX",'Fleet Tech - Tech'!B$17,IF($F62="BM",'Fleet Tech - Tech'!B$13,IF($F62="AR",'Fleet Tech - Tech'!B$12,IF($F62="SSV",'Fleet Tech - Tech'!B$14,"nil"))))))))))))))),0)</f>
        <v>82</v>
      </c>
      <c r="AV62" s="12">
        <f>IF($H62=3,IF(OR($F62="DDV",$F62="DDG",$F62="DD"),'Fleet Tech - Tech'!C$3,IF($F62="CL",'Fleet Tech - Tech'!C$4,IF($F62="CA",'Fleet Tech - Tech'!C$5,IF($F62="BC",'Fleet Tech - Tech'!C$6,IF($F62="BB",'Fleet Tech - Tech'!C$7,IF($F62="CVL",'Fleet Tech - Tech'!C$8,IF($F62="CV",'Fleet Tech - Tech'!C$9,IF($F62="SS",'Fleet Tech - Tech'!C$10,IF($F62="BBV",'Fleet Tech - Tech'!C$11,IF($F62="CB",'Fleet Tech - Tech'!C$15,IF($F62="AE",'Fleet Tech - Tech'!C$16,IF($F62="IX",'Fleet Tech - Tech'!C$17,IF($F62="BM",'Fleet Tech - Tech'!C$13,IF($F62="AR",'Fleet Tech - Tech'!C$12,IF($F62="SSV",'Fleet Tech - Tech'!C$14,"nil"))))))))))))))),0)</f>
        <v>2</v>
      </c>
      <c r="AW62" s="12">
        <f>IF($H62=3,IF(OR($F62="DDV",$F62="DDG",$F62="DD"),'Fleet Tech - Tech'!D$3,IF($F62="CL",'Fleet Tech - Tech'!D$4,IF($F62="CA",'Fleet Tech - Tech'!D$5,IF($F62="BC",'Fleet Tech - Tech'!D$6,IF($F62="BB",'Fleet Tech - Tech'!D$7,IF($F62="CVL",'Fleet Tech - Tech'!D$8,IF($F62="CV",'Fleet Tech - Tech'!D$9,IF($F62="SS",'Fleet Tech - Tech'!D$10,IF($F62="BBV",'Fleet Tech - Tech'!D$11,IF($F62="CB",'Fleet Tech - Tech'!D$15,IF($F62="AE",'Fleet Tech - Tech'!D$16,IF($F62="IX",'Fleet Tech - Tech'!D$17,IF($F62="BM",'Fleet Tech - Tech'!D$13,IF($F62="AR",'Fleet Tech - Tech'!D$12,IF($F62="SSV",'Fleet Tech - Tech'!D$14,"nil"))))))))))))))),0)</f>
        <v>4</v>
      </c>
      <c r="AX62" s="12">
        <f>IF($H62=3,IF(OR($F62="DDV",$F62="DDG",$F62="DD"),'Fleet Tech - Tech'!E$3,IF($F62="CL",'Fleet Tech - Tech'!E$4,IF($F62="CA",'Fleet Tech - Tech'!E$5,IF($F62="BC",'Fleet Tech - Tech'!E$6,IF($F62="BB",'Fleet Tech - Tech'!E$7,IF($F62="CVL",'Fleet Tech - Tech'!E$8,IF($F62="CV",'Fleet Tech - Tech'!E$9,IF($F62="SS",'Fleet Tech - Tech'!E$10,IF($F62="BBV",'Fleet Tech - Tech'!E$11,IF($F62="CB",'Fleet Tech - Tech'!E$15,IF($F62="AE",'Fleet Tech - Tech'!E$16,IF($F62="IX",'Fleet Tech - Tech'!E$17,IF($F62="BM",'Fleet Tech - Tech'!E$13,IF($F62="AR",'Fleet Tech - Tech'!E$12,IF($F62="SSV",'Fleet Tech - Tech'!E$14,"nil"))))))))))))))),0)</f>
        <v>0</v>
      </c>
      <c r="AY62" s="12">
        <f>IF($H62=3,IF(OR($F62="DDV",$F62="DDG",$F62="DD"),'Fleet Tech - Tech'!F$3,IF($F62="CL",'Fleet Tech - Tech'!F$4,IF($F62="CA",'Fleet Tech - Tech'!F$5,IF($F62="BC",'Fleet Tech - Tech'!F$6,IF($F62="BB",'Fleet Tech - Tech'!F$7,IF($F62="CVL",'Fleet Tech - Tech'!F$8,IF($F62="CV",'Fleet Tech - Tech'!F$9,IF($F62="SS",'Fleet Tech - Tech'!F$10,IF($F62="BBV",'Fleet Tech - Tech'!F$11,IF($F62="CB",'Fleet Tech - Tech'!F$15,IF($F62="AE",'Fleet Tech - Tech'!F$16,IF($F62="IX",'Fleet Tech - Tech'!F$17,IF($F62="BM",'Fleet Tech - Tech'!F$13,IF($F62="AR",'Fleet Tech - Tech'!F$12,IF($F62="SSV",'Fleet Tech - Tech'!F$14,"nil"))))))))))))))),0)</f>
        <v>0</v>
      </c>
      <c r="AZ62" s="12">
        <f>IF($H62=3,IF(OR($F62="DDV",$F62="DDG",$F62="DD"),'Fleet Tech - Tech'!G$3,IF($F62="CL",'Fleet Tech - Tech'!G$4,IF($F62="CA",'Fleet Tech - Tech'!G$5,IF($F62="BC",'Fleet Tech - Tech'!G$6,IF($F62="BB",'Fleet Tech - Tech'!G$7,IF($F62="CVL",'Fleet Tech - Tech'!G$8,IF($F62="CV",'Fleet Tech - Tech'!G$9,IF($F62="SS",'Fleet Tech - Tech'!G$10,IF($F62="BBV",'Fleet Tech - Tech'!G$11,IF($F62="CB",'Fleet Tech - Tech'!G$15,IF($F62="AE",'Fleet Tech - Tech'!G$16,IF($F62="IX",'Fleet Tech - Tech'!G$17,IF($F62="BM",'Fleet Tech - Tech'!G$13,IF($F62="AR",'Fleet Tech - Tech'!G$12,IF($F62="SSV",'Fleet Tech - Tech'!G$14,"nil"))))))))))))))),0)</f>
        <v>0</v>
      </c>
      <c r="BA62" s="12">
        <f>IF($H62=3,IF(OR($F62="DDV",$F62="DDG",$F62="DD"),'Fleet Tech - Tech'!H$3,IF($F62="CL",'Fleet Tech - Tech'!H$4,IF($F62="CA",'Fleet Tech - Tech'!H$5,IF($F62="BC",'Fleet Tech - Tech'!H$6,IF($F62="BB",'Fleet Tech - Tech'!H$7,IF($F62="CVL",'Fleet Tech - Tech'!H$8,IF($F62="CV",'Fleet Tech - Tech'!H$9,IF($F62="SS",'Fleet Tech - Tech'!H$10,IF($F62="BBV",'Fleet Tech - Tech'!H$11,IF($F62="CB",'Fleet Tech - Tech'!H$15,IF($F62="AE",'Fleet Tech - Tech'!H$16,IF($F62="IX",'Fleet Tech - Tech'!H$17,IF($F62="BM",'Fleet Tech - Tech'!H$13,IF($F62="AR",'Fleet Tech - Tech'!H$12,IF($F62="SSV",'Fleet Tech - Tech'!H$14,"nil"))))))))))))))),0)</f>
        <v>0</v>
      </c>
      <c r="BB62" s="12">
        <f>IF($H62=3,IF(OR($F62="DDV",$F62="DDG",$F62="DD"),'Fleet Tech - Tech'!I$3,IF($F62="CL",'Fleet Tech - Tech'!I$4,IF($F62="CA",'Fleet Tech - Tech'!I$5,IF($F62="BC",'Fleet Tech - Tech'!I$6,IF($F62="BB",'Fleet Tech - Tech'!I$7,IF($F62="CVL",'Fleet Tech - Tech'!I$8,IF($F62="CV",'Fleet Tech - Tech'!I$9,IF($F62="SS",'Fleet Tech - Tech'!I$10,IF($F62="BBV",'Fleet Tech - Tech'!I$11,IF($F62="CB",'Fleet Tech - Tech'!I$15,IF($F62="AE",'Fleet Tech - Tech'!I$16,IF($F62="IX",'Fleet Tech - Tech'!I$17,IF($F62="BM",'Fleet Tech - Tech'!I$13,IF($F62="AR",'Fleet Tech - Tech'!I$12,IF($F62="SSV",'Fleet Tech - Tech'!I$14,"nil"))))))))))))))),0)</f>
        <v>0</v>
      </c>
      <c r="BC62" s="12">
        <f>IF($H62=3,IF(OR($F62="DDV",$F62="DDG",$F62="DD"),'Fleet Tech - Tech'!J$3,IF($F62="CL",'Fleet Tech - Tech'!J$4,IF($F62="CA",'Fleet Tech - Tech'!J$5,IF($F62="BC",'Fleet Tech - Tech'!J$6,IF($F62="BB",'Fleet Tech - Tech'!J$7,IF($F62="CVL",'Fleet Tech - Tech'!J$8,IF($F62="CV",'Fleet Tech - Tech'!J$9,IF($F62="SS",'Fleet Tech - Tech'!J$10,IF($F62="BBV",'Fleet Tech - Tech'!J$11,IF($F62="CB",'Fleet Tech - Tech'!J$15,IF($F62="AE",'Fleet Tech - Tech'!J$16,IF($F62="IX",'Fleet Tech - Tech'!J$17,IF($F62="BM",'Fleet Tech - Tech'!J$13,IF($F62="AR",'Fleet Tech - Tech'!J$12,IF($F62="SSV",'Fleet Tech - Tech'!J$14,"nil"))))))))))))))),0)</f>
        <v>0</v>
      </c>
      <c r="BD62" s="12">
        <f>IF($H62=3,IF(OR($F62="DDV",$F62="DDG",$F62="DD"),'Fleet Tech - Tech'!K$3,IF($F62="CL",'Fleet Tech - Tech'!K$4,IF($F62="CA",'Fleet Tech - Tech'!K$5,IF($F62="BC",'Fleet Tech - Tech'!K$6,IF($F62="BB",'Fleet Tech - Tech'!K$7,IF($F62="CVL",'Fleet Tech - Tech'!K$8,IF($F62="CV",'Fleet Tech - Tech'!K$9,IF($F62="SS",'Fleet Tech - Tech'!K$10,IF($F62="BBV",'Fleet Tech - Tech'!K$11,IF($F62="CB",'Fleet Tech - Tech'!K$15,IF($F62="AE",'Fleet Tech - Tech'!K$16,IF($F62="IX",'Fleet Tech - Tech'!K$17,IF($F62="BM",'Fleet Tech - Tech'!K$13,IF($F62="AR",'Fleet Tech - Tech'!K$12,IF($F62="SSV",'Fleet Tech - Tech'!K$14,"nil"))))))))))))))),0)</f>
        <v>0</v>
      </c>
      <c r="BE62" s="12">
        <f>IF($H62=3,IF(OR($F62="DDV",$F62="DDG",$F62="DD"),'Fleet Tech - Tech'!L$3,IF($F62="CL",'Fleet Tech - Tech'!L$4,IF($F62="CA",'Fleet Tech - Tech'!L$5,IF($F62="BC",'Fleet Tech - Tech'!L$6,IF($F62="BB",'Fleet Tech - Tech'!L$7,IF($F62="CVL",'Fleet Tech - Tech'!L$8,IF($F62="CV",'Fleet Tech - Tech'!L$9,IF($F62="SS",'Fleet Tech - Tech'!L$10,IF($F62="BBV",'Fleet Tech - Tech'!L$11,IF($F62="CB",'Fleet Tech - Tech'!L$15,IF($F62="AE",'Fleet Tech - Tech'!L$16,IF($F62="IX",'Fleet Tech - Tech'!L$17,IF($F62="BM",'Fleet Tech - Tech'!L$13,IF($F62="AR",'Fleet Tech - Tech'!L$12,IF($F62="SSV",'Fleet Tech - Tech'!L$14,"nil"))))))))))))))),0)</f>
        <v>0</v>
      </c>
      <c r="BF62" s="12">
        <f>IF($H62=3,IF(OR($F62="DDV",$F62="DDG",$F62="DD"),'Fleet Tech - Tech'!M$3,IF($F62="CL",'Fleet Tech - Tech'!M$4,IF($F62="CA",'Fleet Tech - Tech'!M$5,IF($F62="BC",'Fleet Tech - Tech'!M$6,IF($F62="BB",'Fleet Tech - Tech'!M$7,IF($F62="CVL",'Fleet Tech - Tech'!M$8,IF($F62="CV",'Fleet Tech - Tech'!M$9,IF($F62="SS",'Fleet Tech - Tech'!M$10,IF($F62="BBV",'Fleet Tech - Tech'!M$11,IF($F62="CB",'Fleet Tech - Tech'!M$15,IF($F62="AE",'Fleet Tech - Tech'!M$16,IF($F62="IX",'Fleet Tech - Tech'!M$17,IF($F62="BM",'Fleet Tech - Tech'!M$13,IF($F62="AR",'Fleet Tech - Tech'!M$12,IF($F62="SSV",'Fleet Tech - Tech'!M$14,"nil"))))))))))))))),0)</f>
        <v>0</v>
      </c>
      <c r="BG62" s="12">
        <f>IF($H62=3,IF(OR($F62="DDV",$F62="DDG",$F62="DD"),'Fleet Tech - Tech'!N$3,IF($F62="CL",'Fleet Tech - Tech'!N$4,IF($F62="CA",'Fleet Tech - Tech'!N$5,IF($F62="BC",'Fleet Tech - Tech'!N$6,IF($F62="BB",'Fleet Tech - Tech'!N$7,IF($F62="CVL",'Fleet Tech - Tech'!N$8,IF($F62="CV",'Fleet Tech - Tech'!N$9,IF($F62="SS",'Fleet Tech - Tech'!N$10,IF($F62="BBV",'Fleet Tech - Tech'!N$11,IF($F62="CB",'Fleet Tech - Tech'!N$15,IF($F62="AE",'Fleet Tech - Tech'!N$16,IF($F62="IX",'Fleet Tech - Tech'!N$17,IF($F62="BM",'Fleet Tech - Tech'!N$13,IF($F62="AR",'Fleet Tech - Tech'!N$12,IF($F62="SSV",'Fleet Tech - Tech'!N$14,"nil"))))))))))))))),0)</f>
        <v>2</v>
      </c>
      <c r="BH62" s="28"/>
      <c r="BI62" s="12">
        <v>4727</v>
      </c>
      <c r="BJ62" s="12">
        <v>209</v>
      </c>
      <c r="BK62" s="12">
        <v>131</v>
      </c>
      <c r="BL62" s="28"/>
      <c r="BM62" s="12">
        <v>60</v>
      </c>
      <c r="BN62" s="28"/>
      <c r="BO62" s="28"/>
      <c r="BP62" s="28"/>
      <c r="BQ62" s="12">
        <v>24</v>
      </c>
      <c r="BR62" s="12">
        <v>13</v>
      </c>
      <c r="BS62" s="12">
        <v>82</v>
      </c>
      <c r="BT62" s="12">
        <v>19</v>
      </c>
      <c r="BU62" s="12">
        <v>43</v>
      </c>
      <c r="BV62" s="12">
        <v>335</v>
      </c>
      <c r="BW62" s="28"/>
      <c r="BX62" s="12">
        <v>2</v>
      </c>
      <c r="BY62" s="12">
        <v>0</v>
      </c>
      <c r="BZ62" s="12">
        <v>-1</v>
      </c>
      <c r="CA62" s="12">
        <v>-1</v>
      </c>
      <c r="CB62" s="12">
        <v>-1</v>
      </c>
      <c r="CC62" s="12">
        <v>-1</v>
      </c>
      <c r="CD62" s="12">
        <v>-1</v>
      </c>
      <c r="CE62" s="12">
        <v>-1</v>
      </c>
      <c r="CF62" s="12">
        <v>-1</v>
      </c>
      <c r="CG62" s="12">
        <v>-1</v>
      </c>
      <c r="CH62" s="12">
        <v>-1</v>
      </c>
      <c r="CI62" s="12">
        <v>-1</v>
      </c>
      <c r="CJ62" s="47"/>
      <c r="CK62" s="48">
        <f>IF(BX62=5,320,IF(BX62=4,195,IF(BX62=3,132,IF(BX62=2,90,IF(BX62=1,58,IF(BX62=-1,0,35))))))</f>
        <v>90</v>
      </c>
      <c r="CL62" s="48">
        <f>IF(BX62=5,20,IF(BX62=4,15,IF(BX62=3,12,IF(BX62=2,10,IF(BX62=1,8,IF(BX62=-1,0,5))))))</f>
        <v>10</v>
      </c>
      <c r="CM62" s="48">
        <f>IF(BZ62=5,320,IF(BZ62=4,195,IF(BZ62=3,132,IF(BZ62=2,90,IF(BZ62=1,58,IF(BZ62=-1,0,35))))))</f>
        <v>0</v>
      </c>
      <c r="CN62" s="48">
        <f>IF(BZ62=5,20,IF(BZ62=4,15,IF(BZ62=3,12,IF(BZ62=2,10,IF(BZ62=1,8,IF(BZ62=-1,0,5))))))</f>
        <v>0</v>
      </c>
      <c r="CO62" s="48">
        <f>IF(CB62=5,320,IF(CB62=4,195,IF(CB62=3,132,IF(CB62=2,90,IF(CB62=1,58,IF(CB62=-1,0,35))))))</f>
        <v>0</v>
      </c>
      <c r="CP62" s="48">
        <f>IF(CB62=5,20,IF(CB62=4,15,IF(CB62=3,12,IF(CB62=2,10,IF(CB62=1,8,IF(CB62=-1,0,5))))))</f>
        <v>0</v>
      </c>
      <c r="CQ62" s="48">
        <f>IF(CD62=5,320,IF(CD62=4,195,IF(CD62=3,132,IF(CD62=2,90,IF(CD62=1,58,IF(CD62=-1,0,35))))))</f>
        <v>0</v>
      </c>
      <c r="CR62" s="48">
        <f>IF(CD62=5,20,IF(CD62=4,15,IF(CD62=3,12,IF(CD62=2,10,IF(CD62=1,8,IF(CD62=-1,0,5))))))</f>
        <v>0</v>
      </c>
      <c r="CS62" s="48">
        <f>IF(CF62=5,320,IF(CF62=4,195,IF(CF62=3,132,IF(CF62=2,90,IF(CF62=1,58,IF(CF62=-1,0,35))))))</f>
        <v>0</v>
      </c>
      <c r="CT62" s="48">
        <f>IF(CF62=5,20,IF(CF62=4,15,IF(CF62=3,12,IF(CF62=2,10,IF(CF62=1,8,IF(CF62=-1,0,5))))))</f>
        <v>0</v>
      </c>
      <c r="CU62" s="48">
        <f>IF(CH62=5,320,IF(CH62=4,195,IF(CH62=3,132,IF(CH62=2,90,IF(CH62=1,58,IF(CH62=-1,0,35))))))</f>
        <v>0</v>
      </c>
      <c r="CV62" s="48">
        <f>IF(CH62=5,20,IF(CH62=4,15,IF(CH62=3,12,IF(CH62=2,10,IF(CH62=1,8,IF(CH62=-1,0,5))))))</f>
        <v>0</v>
      </c>
      <c r="CW62" s="48">
        <f>IF(BY62&gt;10,(BY62/10)-ROUNDDOWN(BY62/10,0),0)+IF(CA62&gt;10,(CA62/10)-ROUNDDOWN(CA62/10,0),0)+IF(CC62&gt;10,(CC62/10)-ROUNDDOWN(CC62/10,0),0)+IF(CE62&gt;10,(CE62/10)-ROUNDDOWN(CE62/10,0),0)+IF(CG62&gt;10,(CG62/10)-ROUNDDOWN(CG62/10,0),0)+IF(CI62&gt;10,(CI62/10)-ROUNDDOWN(CI62/10,0),0)</f>
        <v>0</v>
      </c>
      <c r="CX62" s="48">
        <f>1+(CW62/10)</f>
        <v>1</v>
      </c>
    </row>
    <row r="63" ht="20.05" customHeight="1">
      <c r="A63" t="s" s="43">
        <v>342</v>
      </c>
      <c r="B63" s="49"/>
      <c r="C63" t="s" s="45">
        <v>279</v>
      </c>
      <c r="D63" s="13">
        <v>7</v>
      </c>
      <c r="E63" t="s" s="15">
        <v>240</v>
      </c>
      <c r="F63" t="s" s="15">
        <v>280</v>
      </c>
      <c r="G63" t="s" s="15">
        <v>282</v>
      </c>
      <c r="H63" s="12">
        <v>1</v>
      </c>
      <c r="I63" t="s" s="15">
        <v>300</v>
      </c>
      <c r="J63" s="12">
        <v>73</v>
      </c>
      <c r="K63" t="s" s="14">
        <v>264</v>
      </c>
      <c r="L63" t="s" s="15">
        <v>237</v>
      </c>
      <c r="M63" t="s" s="15">
        <v>19</v>
      </c>
      <c r="N63" s="46">
        <f>ROUND((SUM(AA63,T63:Y63,AC63:AE63,Z63*10)-AB63*15)*(IF(K63="Heavy",0.15,IF(K63="Medium",0,IF(K63="Light",-0.15,10)))+1),0)</f>
        <v>392</v>
      </c>
      <c r="O63" s="46">
        <v>1387</v>
      </c>
      <c r="P63" s="46">
        <f>ROUNDDOWN((BI63+AU63+AG63)/5,0)+(BJ63+AV63+AH63)+(BN63+AZ63+AL63)+(BO63+BA63+AM63)+(BK63+AW63+AI63)+(BS63+BE63+AQ63)+(BL63+AX63+AJ63)+(BQ63+BC63+AO63)+(2*((BT63+BF63+AR63)+(BU63+BG63+AS63)))+(CK63+CM63+CO63+CQ63+CS63+CU63)+(CL63*BY63)+(CN63*CA63)+(CP63+CC63)+(CR63+CE63)+(CT63+CG63)+(CV63+CI63)+BV63</f>
        <v>1383</v>
      </c>
      <c r="Q63" s="46">
        <f>ROUNDDOWN(((S63/5)+T63+X63+Y63+U63+AC63+V63+AA63+(2*(AD63+AE63))+CK63+CM63+CO63+CQ63+CS63+CU63+(CL63*BX63)+(CN63*BZ63)+(CP63*CB63)+(CR63*CD63)+(CT63*CF63)+(CV63*CH63))*CX63,0)</f>
        <v>1395</v>
      </c>
      <c r="R63" s="46">
        <f>ROUNDDOWN(AVERAGE(P63:Q63),0)</f>
        <v>1389</v>
      </c>
      <c r="S63" s="12">
        <f>AG63+AU63+BI63</f>
        <v>3906</v>
      </c>
      <c r="T63" s="12">
        <f>AH63+AV63+BJ63</f>
        <v>160</v>
      </c>
      <c r="U63" s="12">
        <f>AI63+AW63+BK63</f>
        <v>122</v>
      </c>
      <c r="V63" s="12">
        <f>AJ63+AX63+BL63</f>
        <v>0</v>
      </c>
      <c r="W63" s="12">
        <f>AK63+AY63+BM63</f>
        <v>14</v>
      </c>
      <c r="X63" s="12">
        <f>AL63+AZ63+BN63</f>
        <v>0</v>
      </c>
      <c r="Y63" s="12">
        <f>AM63+BA63+BO63</f>
        <v>0</v>
      </c>
      <c r="Z63" s="12">
        <f>AN63+BB63+BP63</f>
        <v>0</v>
      </c>
      <c r="AA63" s="12">
        <f>AO63+BC63+BQ63</f>
        <v>23</v>
      </c>
      <c r="AB63" s="12">
        <f>AP63+BD63+BR63</f>
        <v>8</v>
      </c>
      <c r="AC63" s="12">
        <f>AQ63+BE63+BS63</f>
        <v>76</v>
      </c>
      <c r="AD63" s="12">
        <f>AR63+BF63+BT63</f>
        <v>20</v>
      </c>
      <c r="AE63" s="12">
        <f>AS63+BG63+BU63</f>
        <v>46</v>
      </c>
      <c r="AF63" s="28"/>
      <c r="AG63" s="28"/>
      <c r="AH63" s="28"/>
      <c r="AI63" s="12">
        <v>5</v>
      </c>
      <c r="AJ63" s="28"/>
      <c r="AK63" s="28"/>
      <c r="AL63" s="28"/>
      <c r="AM63" s="28"/>
      <c r="AN63" s="28"/>
      <c r="AO63" s="28"/>
      <c r="AP63" s="28"/>
      <c r="AQ63" s="28"/>
      <c r="AR63" s="28"/>
      <c r="AS63" s="28"/>
      <c r="AT63" s="28"/>
      <c r="AU63" s="12">
        <f>IF($H63=3,IF(OR($F63="DDV",$F63="DDG",$F63="DD"),'Fleet Tech - Tech'!B$3,IF($F63="CL",'Fleet Tech - Tech'!B$4,IF($F63="CA",'Fleet Tech - Tech'!B$5,IF($F63="BC",'Fleet Tech - Tech'!B$6,IF($F63="BB",'Fleet Tech - Tech'!B$7,IF($F63="CVL",'Fleet Tech - Tech'!B$8,IF($F63="CV",'Fleet Tech - Tech'!B$9,IF($F63="SS",'Fleet Tech - Tech'!B$10,IF($F63="BBV",'Fleet Tech - Tech'!B$11,IF($F63="CB",'Fleet Tech - Tech'!B$15,IF($F63="AE",'Fleet Tech - Tech'!B$16,IF($F63="IX",'Fleet Tech - Tech'!B$17,IF($F63="BM",'Fleet Tech - Tech'!B$13,IF($F63="AR",'Fleet Tech - Tech'!B$12,IF($F63="SSV",'Fleet Tech - Tech'!B$14,"nil"))))))))))))))),0)</f>
        <v>0</v>
      </c>
      <c r="AV63" s="12">
        <f>IF($H63=3,IF(OR($F63="DDV",$F63="DDG",$F63="DD"),'Fleet Tech - Tech'!C$3,IF($F63="CL",'Fleet Tech - Tech'!C$4,IF($F63="CA",'Fleet Tech - Tech'!C$5,IF($F63="BC",'Fleet Tech - Tech'!C$6,IF($F63="BB",'Fleet Tech - Tech'!C$7,IF($F63="CVL",'Fleet Tech - Tech'!C$8,IF($F63="CV",'Fleet Tech - Tech'!C$9,IF($F63="SS",'Fleet Tech - Tech'!C$10,IF($F63="BBV",'Fleet Tech - Tech'!C$11,IF($F63="CB",'Fleet Tech - Tech'!C$15,IF($F63="AE",'Fleet Tech - Tech'!C$16,IF($F63="IX",'Fleet Tech - Tech'!C$17,IF($F63="BM",'Fleet Tech - Tech'!C$13,IF($F63="AR",'Fleet Tech - Tech'!C$12,IF($F63="SSV",'Fleet Tech - Tech'!C$14,"nil"))))))))))))))),0)</f>
        <v>0</v>
      </c>
      <c r="AW63" s="12">
        <f>IF($H63=3,IF(OR($F63="DDV",$F63="DDG",$F63="DD"),'Fleet Tech - Tech'!D$3,IF($F63="CL",'Fleet Tech - Tech'!D$4,IF($F63="CA",'Fleet Tech - Tech'!D$5,IF($F63="BC",'Fleet Tech - Tech'!D$6,IF($F63="BB",'Fleet Tech - Tech'!D$7,IF($F63="CVL",'Fleet Tech - Tech'!D$8,IF($F63="CV",'Fleet Tech - Tech'!D$9,IF($F63="SS",'Fleet Tech - Tech'!D$10,IF($F63="BBV",'Fleet Tech - Tech'!D$11,IF($F63="CB",'Fleet Tech - Tech'!D$15,IF($F63="AE",'Fleet Tech - Tech'!D$16,IF($F63="IX",'Fleet Tech - Tech'!D$17,IF($F63="BM",'Fleet Tech - Tech'!D$13,IF($F63="AR",'Fleet Tech - Tech'!D$12,IF($F63="SSV",'Fleet Tech - Tech'!D$14,"nil"))))))))))))))),0)</f>
        <v>0</v>
      </c>
      <c r="AX63" s="12">
        <f>IF($H63=3,IF(OR($F63="DDV",$F63="DDG",$F63="DD"),'Fleet Tech - Tech'!E$3,IF($F63="CL",'Fleet Tech - Tech'!E$4,IF($F63="CA",'Fleet Tech - Tech'!E$5,IF($F63="BC",'Fleet Tech - Tech'!E$6,IF($F63="BB",'Fleet Tech - Tech'!E$7,IF($F63="CVL",'Fleet Tech - Tech'!E$8,IF($F63="CV",'Fleet Tech - Tech'!E$9,IF($F63="SS",'Fleet Tech - Tech'!E$10,IF($F63="BBV",'Fleet Tech - Tech'!E$11,IF($F63="CB",'Fleet Tech - Tech'!E$15,IF($F63="AE",'Fleet Tech - Tech'!E$16,IF($F63="IX",'Fleet Tech - Tech'!E$17,IF($F63="BM",'Fleet Tech - Tech'!E$13,IF($F63="AR",'Fleet Tech - Tech'!E$12,IF($F63="SSV",'Fleet Tech - Tech'!E$14,"nil"))))))))))))))),0)</f>
        <v>0</v>
      </c>
      <c r="AY63" s="12">
        <f>IF($H63=3,IF(OR($F63="DDV",$F63="DDG",$F63="DD"),'Fleet Tech - Tech'!F$3,IF($F63="CL",'Fleet Tech - Tech'!F$4,IF($F63="CA",'Fleet Tech - Tech'!F$5,IF($F63="BC",'Fleet Tech - Tech'!F$6,IF($F63="BB",'Fleet Tech - Tech'!F$7,IF($F63="CVL",'Fleet Tech - Tech'!F$8,IF($F63="CV",'Fleet Tech - Tech'!F$9,IF($F63="SS",'Fleet Tech - Tech'!F$10,IF($F63="BBV",'Fleet Tech - Tech'!F$11,IF($F63="CB",'Fleet Tech - Tech'!F$15,IF($F63="AE",'Fleet Tech - Tech'!F$16,IF($F63="IX",'Fleet Tech - Tech'!F$17,IF($F63="BM",'Fleet Tech - Tech'!F$13,IF($F63="AR",'Fleet Tech - Tech'!F$12,IF($F63="SSV",'Fleet Tech - Tech'!F$14,"nil"))))))))))))))),0)</f>
        <v>0</v>
      </c>
      <c r="AZ63" s="12">
        <f>IF($H63=3,IF(OR($F63="DDV",$F63="DDG",$F63="DD"),'Fleet Tech - Tech'!G$3,IF($F63="CL",'Fleet Tech - Tech'!G$4,IF($F63="CA",'Fleet Tech - Tech'!G$5,IF($F63="BC",'Fleet Tech - Tech'!G$6,IF($F63="BB",'Fleet Tech - Tech'!G$7,IF($F63="CVL",'Fleet Tech - Tech'!G$8,IF($F63="CV",'Fleet Tech - Tech'!G$9,IF($F63="SS",'Fleet Tech - Tech'!G$10,IF($F63="BBV",'Fleet Tech - Tech'!G$11,IF($F63="CB",'Fleet Tech - Tech'!G$15,IF($F63="AE",'Fleet Tech - Tech'!G$16,IF($F63="IX",'Fleet Tech - Tech'!G$17,IF($F63="BM",'Fleet Tech - Tech'!G$13,IF($F63="AR",'Fleet Tech - Tech'!G$12,IF($F63="SSV",'Fleet Tech - Tech'!G$14,"nil"))))))))))))))),0)</f>
        <v>0</v>
      </c>
      <c r="BA63" s="12">
        <f>IF($H63=3,IF(OR($F63="DDV",$F63="DDG",$F63="DD"),'Fleet Tech - Tech'!H$3,IF($F63="CL",'Fleet Tech - Tech'!H$4,IF($F63="CA",'Fleet Tech - Tech'!H$5,IF($F63="BC",'Fleet Tech - Tech'!H$6,IF($F63="BB",'Fleet Tech - Tech'!H$7,IF($F63="CVL",'Fleet Tech - Tech'!H$8,IF($F63="CV",'Fleet Tech - Tech'!H$9,IF($F63="SS",'Fleet Tech - Tech'!H$10,IF($F63="BBV",'Fleet Tech - Tech'!H$11,IF($F63="CB",'Fleet Tech - Tech'!H$15,IF($F63="AE",'Fleet Tech - Tech'!H$16,IF($F63="IX",'Fleet Tech - Tech'!H$17,IF($F63="BM",'Fleet Tech - Tech'!H$13,IF($F63="AR",'Fleet Tech - Tech'!H$12,IF($F63="SSV",'Fleet Tech - Tech'!H$14,"nil"))))))))))))))),0)</f>
        <v>0</v>
      </c>
      <c r="BB63" s="12">
        <f>IF($H63=3,IF(OR($F63="DDV",$F63="DDG",$F63="DD"),'Fleet Tech - Tech'!I$3,IF($F63="CL",'Fleet Tech - Tech'!I$4,IF($F63="CA",'Fleet Tech - Tech'!I$5,IF($F63="BC",'Fleet Tech - Tech'!I$6,IF($F63="BB",'Fleet Tech - Tech'!I$7,IF($F63="CVL",'Fleet Tech - Tech'!I$8,IF($F63="CV",'Fleet Tech - Tech'!I$9,IF($F63="SS",'Fleet Tech - Tech'!I$10,IF($F63="BBV",'Fleet Tech - Tech'!I$11,IF($F63="CB",'Fleet Tech - Tech'!I$15,IF($F63="AE",'Fleet Tech - Tech'!I$16,IF($F63="IX",'Fleet Tech - Tech'!I$17,IF($F63="BM",'Fleet Tech - Tech'!I$13,IF($F63="AR",'Fleet Tech - Tech'!I$12,IF($F63="SSV",'Fleet Tech - Tech'!I$14,"nil"))))))))))))))),0)</f>
        <v>0</v>
      </c>
      <c r="BC63" s="12">
        <f>IF($H63=3,IF(OR($F63="DDV",$F63="DDG",$F63="DD"),'Fleet Tech - Tech'!J$3,IF($F63="CL",'Fleet Tech - Tech'!J$4,IF($F63="CA",'Fleet Tech - Tech'!J$5,IF($F63="BC",'Fleet Tech - Tech'!J$6,IF($F63="BB",'Fleet Tech - Tech'!J$7,IF($F63="CVL",'Fleet Tech - Tech'!J$8,IF($F63="CV",'Fleet Tech - Tech'!J$9,IF($F63="SS",'Fleet Tech - Tech'!J$10,IF($F63="BBV",'Fleet Tech - Tech'!J$11,IF($F63="CB",'Fleet Tech - Tech'!J$15,IF($F63="AE",'Fleet Tech - Tech'!J$16,IF($F63="IX",'Fleet Tech - Tech'!J$17,IF($F63="BM",'Fleet Tech - Tech'!J$13,IF($F63="AR",'Fleet Tech - Tech'!J$12,IF($F63="SSV",'Fleet Tech - Tech'!J$14,"nil"))))))))))))))),0)</f>
        <v>0</v>
      </c>
      <c r="BD63" s="12">
        <f>IF($H63=3,IF(OR($F63="DDV",$F63="DDG",$F63="DD"),'Fleet Tech - Tech'!K$3,IF($F63="CL",'Fleet Tech - Tech'!K$4,IF($F63="CA",'Fleet Tech - Tech'!K$5,IF($F63="BC",'Fleet Tech - Tech'!K$6,IF($F63="BB",'Fleet Tech - Tech'!K$7,IF($F63="CVL",'Fleet Tech - Tech'!K$8,IF($F63="CV",'Fleet Tech - Tech'!K$9,IF($F63="SS",'Fleet Tech - Tech'!K$10,IF($F63="BBV",'Fleet Tech - Tech'!K$11,IF($F63="CB",'Fleet Tech - Tech'!K$15,IF($F63="AE",'Fleet Tech - Tech'!K$16,IF($F63="IX",'Fleet Tech - Tech'!K$17,IF($F63="BM",'Fleet Tech - Tech'!K$13,IF($F63="AR",'Fleet Tech - Tech'!K$12,IF($F63="SSV",'Fleet Tech - Tech'!K$14,"nil"))))))))))))))),0)</f>
        <v>0</v>
      </c>
      <c r="BE63" s="12">
        <f>IF($H63=3,IF(OR($F63="DDV",$F63="DDG",$F63="DD"),'Fleet Tech - Tech'!L$3,IF($F63="CL",'Fleet Tech - Tech'!L$4,IF($F63="CA",'Fleet Tech - Tech'!L$5,IF($F63="BC",'Fleet Tech - Tech'!L$6,IF($F63="BB",'Fleet Tech - Tech'!L$7,IF($F63="CVL",'Fleet Tech - Tech'!L$8,IF($F63="CV",'Fleet Tech - Tech'!L$9,IF($F63="SS",'Fleet Tech - Tech'!L$10,IF($F63="BBV",'Fleet Tech - Tech'!L$11,IF($F63="CB",'Fleet Tech - Tech'!L$15,IF($F63="AE",'Fleet Tech - Tech'!L$16,IF($F63="IX",'Fleet Tech - Tech'!L$17,IF($F63="BM",'Fleet Tech - Tech'!L$13,IF($F63="AR",'Fleet Tech - Tech'!L$12,IF($F63="SSV",'Fleet Tech - Tech'!L$14,"nil"))))))))))))))),0)</f>
        <v>0</v>
      </c>
      <c r="BF63" s="12">
        <f>IF($H63=3,IF(OR($F63="DDV",$F63="DDG",$F63="DD"),'Fleet Tech - Tech'!M$3,IF($F63="CL",'Fleet Tech - Tech'!M$4,IF($F63="CA",'Fleet Tech - Tech'!M$5,IF($F63="BC",'Fleet Tech - Tech'!M$6,IF($F63="BB",'Fleet Tech - Tech'!M$7,IF($F63="CVL",'Fleet Tech - Tech'!M$8,IF($F63="CV",'Fleet Tech - Tech'!M$9,IF($F63="SS",'Fleet Tech - Tech'!M$10,IF($F63="BBV",'Fleet Tech - Tech'!M$11,IF($F63="CB",'Fleet Tech - Tech'!M$15,IF($F63="AE",'Fleet Tech - Tech'!M$16,IF($F63="IX",'Fleet Tech - Tech'!M$17,IF($F63="BM",'Fleet Tech - Tech'!M$13,IF($F63="AR",'Fleet Tech - Tech'!M$12,IF($F63="SSV",'Fleet Tech - Tech'!M$14,"nil"))))))))))))))),0)</f>
        <v>0</v>
      </c>
      <c r="BG63" s="12">
        <f>IF($H63=3,IF(OR($F63="DDV",$F63="DDG",$F63="DD"),'Fleet Tech - Tech'!N$3,IF($F63="CL",'Fleet Tech - Tech'!N$4,IF($F63="CA",'Fleet Tech - Tech'!N$5,IF($F63="BC",'Fleet Tech - Tech'!N$6,IF($F63="BB",'Fleet Tech - Tech'!N$7,IF($F63="CVL",'Fleet Tech - Tech'!N$8,IF($F63="CV",'Fleet Tech - Tech'!N$9,IF($F63="SS",'Fleet Tech - Tech'!N$10,IF($F63="BBV",'Fleet Tech - Tech'!N$11,IF($F63="CB",'Fleet Tech - Tech'!N$15,IF($F63="AE",'Fleet Tech - Tech'!N$16,IF($F63="IX",'Fleet Tech - Tech'!N$17,IF($F63="BM",'Fleet Tech - Tech'!N$13,IF($F63="AR",'Fleet Tech - Tech'!N$12,IF($F63="SSV",'Fleet Tech - Tech'!N$14,"nil"))))))))))))))),0)</f>
        <v>0</v>
      </c>
      <c r="BH63" s="28"/>
      <c r="BI63" s="12">
        <v>3906</v>
      </c>
      <c r="BJ63" s="12">
        <v>160</v>
      </c>
      <c r="BK63" s="12">
        <v>117</v>
      </c>
      <c r="BL63" s="28"/>
      <c r="BM63" s="12">
        <v>14</v>
      </c>
      <c r="BN63" s="28"/>
      <c r="BO63" s="28"/>
      <c r="BP63" s="28"/>
      <c r="BQ63" s="12">
        <v>23</v>
      </c>
      <c r="BR63" s="12">
        <v>8</v>
      </c>
      <c r="BS63" s="12">
        <v>76</v>
      </c>
      <c r="BT63" s="12">
        <v>20</v>
      </c>
      <c r="BU63" s="12">
        <v>46</v>
      </c>
      <c r="BV63" s="12">
        <v>0</v>
      </c>
      <c r="BW63" s="28"/>
      <c r="BX63" s="12">
        <v>0</v>
      </c>
      <c r="BY63" s="12">
        <v>0</v>
      </c>
      <c r="BZ63" s="12">
        <v>1</v>
      </c>
      <c r="CA63" s="12">
        <v>0</v>
      </c>
      <c r="CB63" s="12">
        <v>-1</v>
      </c>
      <c r="CC63" s="12">
        <v>-1</v>
      </c>
      <c r="CD63" s="12">
        <v>-1</v>
      </c>
      <c r="CE63" s="12">
        <v>-1</v>
      </c>
      <c r="CF63" s="12">
        <v>-1</v>
      </c>
      <c r="CG63" s="12">
        <v>-1</v>
      </c>
      <c r="CH63" s="12">
        <v>-1</v>
      </c>
      <c r="CI63" s="12">
        <v>-1</v>
      </c>
      <c r="CJ63" s="47"/>
      <c r="CK63" s="48">
        <f>IF(BX63=5,320,IF(BX63=4,195,IF(BX63=3,132,IF(BX63=2,90,IF(BX63=1,58,IF(BX63=-1,0,35))))))</f>
        <v>35</v>
      </c>
      <c r="CL63" s="48">
        <f>IF(BX63=5,20,IF(BX63=4,15,IF(BX63=3,12,IF(BX63=2,10,IF(BX63=1,8,IF(BX63=-1,0,5))))))</f>
        <v>5</v>
      </c>
      <c r="CM63" s="48">
        <f>IF(BZ63=5,320,IF(BZ63=4,195,IF(BZ63=3,132,IF(BZ63=2,90,IF(BZ63=1,58,IF(BZ63=-1,0,35))))))</f>
        <v>58</v>
      </c>
      <c r="CN63" s="48">
        <f>IF(BZ63=5,20,IF(BZ63=4,15,IF(BZ63=3,12,IF(BZ63=2,10,IF(BZ63=1,8,IF(BZ63=-1,0,5))))))</f>
        <v>8</v>
      </c>
      <c r="CO63" s="48">
        <f>IF(CB63=5,320,IF(CB63=4,195,IF(CB63=3,132,IF(CB63=2,90,IF(CB63=1,58,IF(CB63=-1,0,35))))))</f>
        <v>0</v>
      </c>
      <c r="CP63" s="48">
        <f>IF(CB63=5,20,IF(CB63=4,15,IF(CB63=3,12,IF(CB63=2,10,IF(CB63=1,8,IF(CB63=-1,0,5))))))</f>
        <v>0</v>
      </c>
      <c r="CQ63" s="48">
        <f>IF(CD63=5,320,IF(CD63=4,195,IF(CD63=3,132,IF(CD63=2,90,IF(CD63=1,58,IF(CD63=-1,0,35))))))</f>
        <v>0</v>
      </c>
      <c r="CR63" s="48">
        <f>IF(CD63=5,20,IF(CD63=4,15,IF(CD63=3,12,IF(CD63=2,10,IF(CD63=1,8,IF(CD63=-1,0,5))))))</f>
        <v>0</v>
      </c>
      <c r="CS63" s="48">
        <f>IF(CF63=5,320,IF(CF63=4,195,IF(CF63=3,132,IF(CF63=2,90,IF(CF63=1,58,IF(CF63=-1,0,35))))))</f>
        <v>0</v>
      </c>
      <c r="CT63" s="48">
        <f>IF(CF63=5,20,IF(CF63=4,15,IF(CF63=3,12,IF(CF63=2,10,IF(CF63=1,8,IF(CF63=-1,0,5))))))</f>
        <v>0</v>
      </c>
      <c r="CU63" s="48">
        <f>IF(CH63=5,320,IF(CH63=4,195,IF(CH63=3,132,IF(CH63=2,90,IF(CH63=1,58,IF(CH63=-1,0,35))))))</f>
        <v>0</v>
      </c>
      <c r="CV63" s="48">
        <f>IF(CH63=5,20,IF(CH63=4,15,IF(CH63=3,12,IF(CH63=2,10,IF(CH63=1,8,IF(CH63=-1,0,5))))))</f>
        <v>0</v>
      </c>
      <c r="CW63" s="48">
        <f>IF(BY63&gt;10,(BY63/10)-ROUNDDOWN(BY63/10,0),0)+IF(CA63&gt;10,(CA63/10)-ROUNDDOWN(CA63/10,0),0)+IF(CC63&gt;10,(CC63/10)-ROUNDDOWN(CC63/10,0),0)+IF(CE63&gt;10,(CE63/10)-ROUNDDOWN(CE63/10,0),0)+IF(CG63&gt;10,(CG63/10)-ROUNDDOWN(CG63/10,0),0)+IF(CI63&gt;10,(CI63/10)-ROUNDDOWN(CI63/10,0),0)</f>
        <v>0</v>
      </c>
      <c r="CX63" s="48">
        <f>1+(CW63/10)</f>
        <v>1</v>
      </c>
    </row>
    <row r="64" ht="20.05" customHeight="1">
      <c r="A64" t="s" s="43">
        <v>343</v>
      </c>
      <c r="B64" s="49"/>
      <c r="C64" t="s" s="45">
        <v>279</v>
      </c>
      <c r="D64" s="13">
        <v>7</v>
      </c>
      <c r="E64" t="s" s="15">
        <v>232</v>
      </c>
      <c r="F64" t="s" s="15">
        <v>284</v>
      </c>
      <c r="G64" t="s" s="15">
        <v>282</v>
      </c>
      <c r="H64" s="12">
        <v>3</v>
      </c>
      <c r="I64" t="s" s="15">
        <v>235</v>
      </c>
      <c r="J64" s="12">
        <v>72</v>
      </c>
      <c r="K64" t="s" s="14">
        <v>236</v>
      </c>
      <c r="L64" t="s" s="15">
        <v>265</v>
      </c>
      <c r="M64" t="s" s="15">
        <v>69</v>
      </c>
      <c r="N64" s="46">
        <f>ROUND((SUM(AA64,T64:Y64,AC64:AE64,Z64*10)-AB64*15)*(IF(K64="Heavy",0.15,IF(K64="Medium",0,IF(K64="Light",-0.15,10)))+1),0)</f>
        <v>20</v>
      </c>
      <c r="O64" s="50"/>
      <c r="P64" s="46">
        <f>ROUNDDOWN((BI64+AU64+AG64)/5,0)+(BJ64+AV64+AH64)+(BN64+AZ64+AL64)+(BO64+BA64+AM64)+(BK64+AW64+AI64)+(BS64+BE64+AQ64)+(BL64+AX64+AJ64)+(BQ64+BC64+AO64)+(2*((BT64+BF64+AR64)+(BU64+BG64+AS64)))+(CK64+CM64+CO64+CQ64+CS64+CU64)+(CL64*BY64)+(CN64*CA64)+(CP64+CC64)+(CR64+CE64)+(CT64+CG64)+(CV64+CI64)+BV64</f>
        <v>49</v>
      </c>
      <c r="Q64" s="46">
        <f>ROUNDDOWN(((S64/5)+T64+X64+Y64+U64+AC64+V64+AA64+(2*(AD64+AE64))+CK64+CM64+CO64+CQ64+CS64+CU64+(CL64*BX64)+(CN64*BZ64)+(CP64*CB64)+(CR64*CD64)+(CT64*CF64)+(CV64*CH64))*CX64,0)</f>
        <v>53</v>
      </c>
      <c r="R64" s="46">
        <f>ROUNDDOWN(AVERAGE(P64:Q64),0)</f>
        <v>51</v>
      </c>
      <c r="S64" s="12">
        <f>AG64+AU64+BI64</f>
        <v>128</v>
      </c>
      <c r="T64" s="12">
        <f>AH64+AV64+BJ64</f>
        <v>11</v>
      </c>
      <c r="U64" s="12">
        <f>AI64+AW64+BK64</f>
        <v>3</v>
      </c>
      <c r="V64" s="12">
        <f>AJ64+AX64+BL64</f>
        <v>2</v>
      </c>
      <c r="W64" s="12">
        <f>AK64+AY64+BM64</f>
        <v>0</v>
      </c>
      <c r="X64" s="12">
        <f>AL64+AZ64+BN64</f>
        <v>1</v>
      </c>
      <c r="Y64" s="12">
        <f>AM64+BA64+BO64</f>
        <v>0</v>
      </c>
      <c r="Z64" s="12">
        <f>AN64+BB64+BP64</f>
        <v>0</v>
      </c>
      <c r="AA64" s="12">
        <f>AO64+BC64+BQ64</f>
        <v>0</v>
      </c>
      <c r="AB64" s="12">
        <f>AP64+BD64+BR64</f>
        <v>0</v>
      </c>
      <c r="AC64" s="12">
        <f>AQ64+BE64+BS64</f>
        <v>1</v>
      </c>
      <c r="AD64" s="12">
        <f>AR64+BF64+BT64</f>
        <v>5</v>
      </c>
      <c r="AE64" s="12">
        <f>AS64+BG64+BU64</f>
        <v>0</v>
      </c>
      <c r="AF64" s="28"/>
      <c r="AG64" s="28"/>
      <c r="AH64" s="28"/>
      <c r="AI64" s="28"/>
      <c r="AJ64" s="28"/>
      <c r="AK64" s="28"/>
      <c r="AL64" s="28"/>
      <c r="AM64" s="28"/>
      <c r="AN64" s="28"/>
      <c r="AO64" s="28"/>
      <c r="AP64" s="28"/>
      <c r="AQ64" s="28"/>
      <c r="AR64" s="28"/>
      <c r="AS64" s="28"/>
      <c r="AT64" s="28"/>
      <c r="AU64" s="12">
        <f>IF($H64=3,IF(OR($F64="DDV",$F64="DDG",$F64="DD"),'Fleet Tech - Tech'!B$3,IF($F64="CL",'Fleet Tech - Tech'!B$4,IF($F64="CA",'Fleet Tech - Tech'!B$5,IF($F64="BC",'Fleet Tech - Tech'!B$6,IF($F64="BB",'Fleet Tech - Tech'!B$7,IF($F64="CVL",'Fleet Tech - Tech'!B$8,IF($F64="CV",'Fleet Tech - Tech'!B$9,IF($F64="SS",'Fleet Tech - Tech'!B$10,IF($F64="BBV",'Fleet Tech - Tech'!B$11,IF($F64="CB",'Fleet Tech - Tech'!B$15,IF($F64="AE",'Fleet Tech - Tech'!B$16,IF($F64="IX",'Fleet Tech - Tech'!B$17,IF($F64="BM",'Fleet Tech - Tech'!B$13,IF($F64="AR",'Fleet Tech - Tech'!B$12,IF($F64="SSV",'Fleet Tech - Tech'!B$14,"nil"))))))))))))))),0)</f>
        <v>128</v>
      </c>
      <c r="AV64" s="12">
        <f>IF($H64=3,IF(OR($F64="DDV",$F64="DDG",$F64="DD"),'Fleet Tech - Tech'!C$3,IF($F64="CL",'Fleet Tech - Tech'!C$4,IF($F64="CA",'Fleet Tech - Tech'!C$5,IF($F64="BC",'Fleet Tech - Tech'!C$6,IF($F64="BB",'Fleet Tech - Tech'!C$7,IF($F64="CVL",'Fleet Tech - Tech'!C$8,IF($F64="CV",'Fleet Tech - Tech'!C$9,IF($F64="SS",'Fleet Tech - Tech'!C$10,IF($F64="BBV",'Fleet Tech - Tech'!C$11,IF($F64="CB",'Fleet Tech - Tech'!C$15,IF($F64="AE",'Fleet Tech - Tech'!C$16,IF($F64="IX",'Fleet Tech - Tech'!C$17,IF($F64="BM",'Fleet Tech - Tech'!C$13,IF($F64="AR",'Fleet Tech - Tech'!C$12,IF($F64="SSV",'Fleet Tech - Tech'!C$14,"nil"))))))))))))))),0)</f>
        <v>11</v>
      </c>
      <c r="AW64" s="12">
        <f>IF($H64=3,IF(OR($F64="DDV",$F64="DDG",$F64="DD"),'Fleet Tech - Tech'!D$3,IF($F64="CL",'Fleet Tech - Tech'!D$4,IF($F64="CA",'Fleet Tech - Tech'!D$5,IF($F64="BC",'Fleet Tech - Tech'!D$6,IF($F64="BB",'Fleet Tech - Tech'!D$7,IF($F64="CVL",'Fleet Tech - Tech'!D$8,IF($F64="CV",'Fleet Tech - Tech'!D$9,IF($F64="SS",'Fleet Tech - Tech'!D$10,IF($F64="BBV",'Fleet Tech - Tech'!D$11,IF($F64="CB",'Fleet Tech - Tech'!D$15,IF($F64="AE",'Fleet Tech - Tech'!D$16,IF($F64="IX",'Fleet Tech - Tech'!D$17,IF($F64="BM",'Fleet Tech - Tech'!D$13,IF($F64="AR",'Fleet Tech - Tech'!D$12,IF($F64="SSV",'Fleet Tech - Tech'!D$14,"nil"))))))))))))))),0)</f>
        <v>3</v>
      </c>
      <c r="AX64" s="12">
        <f>IF($H64=3,IF(OR($F64="DDV",$F64="DDG",$F64="DD"),'Fleet Tech - Tech'!E$3,IF($F64="CL",'Fleet Tech - Tech'!E$4,IF($F64="CA",'Fleet Tech - Tech'!E$5,IF($F64="BC",'Fleet Tech - Tech'!E$6,IF($F64="BB",'Fleet Tech - Tech'!E$7,IF($F64="CVL",'Fleet Tech - Tech'!E$8,IF($F64="CV",'Fleet Tech - Tech'!E$9,IF($F64="SS",'Fleet Tech - Tech'!E$10,IF($F64="BBV",'Fleet Tech - Tech'!E$11,IF($F64="CB",'Fleet Tech - Tech'!E$15,IF($F64="AE",'Fleet Tech - Tech'!E$16,IF($F64="IX",'Fleet Tech - Tech'!E$17,IF($F64="BM",'Fleet Tech - Tech'!E$13,IF($F64="AR",'Fleet Tech - Tech'!E$12,IF($F64="SSV",'Fleet Tech - Tech'!E$14,"nil"))))))))))))))),0)</f>
        <v>2</v>
      </c>
      <c r="AY64" s="12">
        <f>IF($H64=3,IF(OR($F64="DDV",$F64="DDG",$F64="DD"),'Fleet Tech - Tech'!F$3,IF($F64="CL",'Fleet Tech - Tech'!F$4,IF($F64="CA",'Fleet Tech - Tech'!F$5,IF($F64="BC",'Fleet Tech - Tech'!F$6,IF($F64="BB",'Fleet Tech - Tech'!F$7,IF($F64="CVL",'Fleet Tech - Tech'!F$8,IF($F64="CV",'Fleet Tech - Tech'!F$9,IF($F64="SS",'Fleet Tech - Tech'!F$10,IF($F64="BBV",'Fleet Tech - Tech'!F$11,IF($F64="CB",'Fleet Tech - Tech'!F$15,IF($F64="AE",'Fleet Tech - Tech'!F$16,IF($F64="IX",'Fleet Tech - Tech'!F$17,IF($F64="BM",'Fleet Tech - Tech'!F$13,IF($F64="AR",'Fleet Tech - Tech'!F$12,IF($F64="SSV",'Fleet Tech - Tech'!F$14,"nil"))))))))))))))),0)</f>
        <v>0</v>
      </c>
      <c r="AZ64" s="12">
        <f>IF($H64=3,IF(OR($F64="DDV",$F64="DDG",$F64="DD"),'Fleet Tech - Tech'!G$3,IF($F64="CL",'Fleet Tech - Tech'!G$4,IF($F64="CA",'Fleet Tech - Tech'!G$5,IF($F64="BC",'Fleet Tech - Tech'!G$6,IF($F64="BB",'Fleet Tech - Tech'!G$7,IF($F64="CVL",'Fleet Tech - Tech'!G$8,IF($F64="CV",'Fleet Tech - Tech'!G$9,IF($F64="SS",'Fleet Tech - Tech'!G$10,IF($F64="BBV",'Fleet Tech - Tech'!G$11,IF($F64="CB",'Fleet Tech - Tech'!G$15,IF($F64="AE",'Fleet Tech - Tech'!G$16,IF($F64="IX",'Fleet Tech - Tech'!G$17,IF($F64="BM",'Fleet Tech - Tech'!G$13,IF($F64="AR",'Fleet Tech - Tech'!G$12,IF($F64="SSV",'Fleet Tech - Tech'!G$14,"nil"))))))))))))))),0)</f>
        <v>1</v>
      </c>
      <c r="BA64" s="12">
        <f>IF($H64=3,IF(OR($F64="DDV",$F64="DDG",$F64="DD"),'Fleet Tech - Tech'!H$3,IF($F64="CL",'Fleet Tech - Tech'!H$4,IF($F64="CA",'Fleet Tech - Tech'!H$5,IF($F64="BC",'Fleet Tech - Tech'!H$6,IF($F64="BB",'Fleet Tech - Tech'!H$7,IF($F64="CVL",'Fleet Tech - Tech'!H$8,IF($F64="CV",'Fleet Tech - Tech'!H$9,IF($F64="SS",'Fleet Tech - Tech'!H$10,IF($F64="BBV",'Fleet Tech - Tech'!H$11,IF($F64="CB",'Fleet Tech - Tech'!H$15,IF($F64="AE",'Fleet Tech - Tech'!H$16,IF($F64="IX",'Fleet Tech - Tech'!H$17,IF($F64="BM",'Fleet Tech - Tech'!H$13,IF($F64="AR",'Fleet Tech - Tech'!H$12,IF($F64="SSV",'Fleet Tech - Tech'!H$14,"nil"))))))))))))))),0)</f>
        <v>0</v>
      </c>
      <c r="BB64" s="12">
        <f>IF($H64=3,IF(OR($F64="DDV",$F64="DDG",$F64="DD"),'Fleet Tech - Tech'!I$3,IF($F64="CL",'Fleet Tech - Tech'!I$4,IF($F64="CA",'Fleet Tech - Tech'!I$5,IF($F64="BC",'Fleet Tech - Tech'!I$6,IF($F64="BB",'Fleet Tech - Tech'!I$7,IF($F64="CVL",'Fleet Tech - Tech'!I$8,IF($F64="CV",'Fleet Tech - Tech'!I$9,IF($F64="SS",'Fleet Tech - Tech'!I$10,IF($F64="BBV",'Fleet Tech - Tech'!I$11,IF($F64="CB",'Fleet Tech - Tech'!I$15,IF($F64="AE",'Fleet Tech - Tech'!I$16,IF($F64="IX",'Fleet Tech - Tech'!I$17,IF($F64="BM",'Fleet Tech - Tech'!I$13,IF($F64="AR",'Fleet Tech - Tech'!I$12,IF($F64="SSV",'Fleet Tech - Tech'!I$14,"nil"))))))))))))))),0)</f>
        <v>0</v>
      </c>
      <c r="BC64" s="12">
        <f>IF($H64=3,IF(OR($F64="DDV",$F64="DDG",$F64="DD"),'Fleet Tech - Tech'!J$3,IF($F64="CL",'Fleet Tech - Tech'!J$4,IF($F64="CA",'Fleet Tech - Tech'!J$5,IF($F64="BC",'Fleet Tech - Tech'!J$6,IF($F64="BB",'Fleet Tech - Tech'!J$7,IF($F64="CVL",'Fleet Tech - Tech'!J$8,IF($F64="CV",'Fleet Tech - Tech'!J$9,IF($F64="SS",'Fleet Tech - Tech'!J$10,IF($F64="BBV",'Fleet Tech - Tech'!J$11,IF($F64="CB",'Fleet Tech - Tech'!J$15,IF($F64="AE",'Fleet Tech - Tech'!J$16,IF($F64="IX",'Fleet Tech - Tech'!J$17,IF($F64="BM",'Fleet Tech - Tech'!J$13,IF($F64="AR",'Fleet Tech - Tech'!J$12,IF($F64="SSV",'Fleet Tech - Tech'!J$14,"nil"))))))))))))))),0)</f>
        <v>0</v>
      </c>
      <c r="BD64" s="12">
        <f>IF($H64=3,IF(OR($F64="DDV",$F64="DDG",$F64="DD"),'Fleet Tech - Tech'!K$3,IF($F64="CL",'Fleet Tech - Tech'!K$4,IF($F64="CA",'Fleet Tech - Tech'!K$5,IF($F64="BC",'Fleet Tech - Tech'!K$6,IF($F64="BB",'Fleet Tech - Tech'!K$7,IF($F64="CVL",'Fleet Tech - Tech'!K$8,IF($F64="CV",'Fleet Tech - Tech'!K$9,IF($F64="SS",'Fleet Tech - Tech'!K$10,IF($F64="BBV",'Fleet Tech - Tech'!K$11,IF($F64="CB",'Fleet Tech - Tech'!K$15,IF($F64="AE",'Fleet Tech - Tech'!K$16,IF($F64="IX",'Fleet Tech - Tech'!K$17,IF($F64="BM",'Fleet Tech - Tech'!K$13,IF($F64="AR",'Fleet Tech - Tech'!K$12,IF($F64="SSV",'Fleet Tech - Tech'!K$14,"nil"))))))))))))))),0)</f>
        <v>0</v>
      </c>
      <c r="BE64" s="12">
        <f>IF($H64=3,IF(OR($F64="DDV",$F64="DDG",$F64="DD"),'Fleet Tech - Tech'!L$3,IF($F64="CL",'Fleet Tech - Tech'!L$4,IF($F64="CA",'Fleet Tech - Tech'!L$5,IF($F64="BC",'Fleet Tech - Tech'!L$6,IF($F64="BB",'Fleet Tech - Tech'!L$7,IF($F64="CVL",'Fleet Tech - Tech'!L$8,IF($F64="CV",'Fleet Tech - Tech'!L$9,IF($F64="SS",'Fleet Tech - Tech'!L$10,IF($F64="BBV",'Fleet Tech - Tech'!L$11,IF($F64="CB",'Fleet Tech - Tech'!L$15,IF($F64="AE",'Fleet Tech - Tech'!L$16,IF($F64="IX",'Fleet Tech - Tech'!L$17,IF($F64="BM",'Fleet Tech - Tech'!L$13,IF($F64="AR",'Fleet Tech - Tech'!L$12,IF($F64="SSV",'Fleet Tech - Tech'!L$14,"nil"))))))))))))))),0)</f>
        <v>1</v>
      </c>
      <c r="BF64" s="12">
        <f>IF($H64=3,IF(OR($F64="DDV",$F64="DDG",$F64="DD"),'Fleet Tech - Tech'!M$3,IF($F64="CL",'Fleet Tech - Tech'!M$4,IF($F64="CA",'Fleet Tech - Tech'!M$5,IF($F64="BC",'Fleet Tech - Tech'!M$6,IF($F64="BB",'Fleet Tech - Tech'!M$7,IF($F64="CVL",'Fleet Tech - Tech'!M$8,IF($F64="CV",'Fleet Tech - Tech'!M$9,IF($F64="SS",'Fleet Tech - Tech'!M$10,IF($F64="BBV",'Fleet Tech - Tech'!M$11,IF($F64="CB",'Fleet Tech - Tech'!M$15,IF($F64="AE",'Fleet Tech - Tech'!M$16,IF($F64="IX",'Fleet Tech - Tech'!M$17,IF($F64="BM",'Fleet Tech - Tech'!M$13,IF($F64="AR",'Fleet Tech - Tech'!M$12,IF($F64="SSV",'Fleet Tech - Tech'!M$14,"nil"))))))))))))))),0)</f>
        <v>5</v>
      </c>
      <c r="BG64" s="12">
        <f>IF($H64=3,IF(OR($F64="DDV",$F64="DDG",$F64="DD"),'Fleet Tech - Tech'!N$3,IF($F64="CL",'Fleet Tech - Tech'!N$4,IF($F64="CA",'Fleet Tech - Tech'!N$5,IF($F64="BC",'Fleet Tech - Tech'!N$6,IF($F64="BB",'Fleet Tech - Tech'!N$7,IF($F64="CVL",'Fleet Tech - Tech'!N$8,IF($F64="CV",'Fleet Tech - Tech'!N$9,IF($F64="SS",'Fleet Tech - Tech'!N$10,IF($F64="BBV",'Fleet Tech - Tech'!N$11,IF($F64="CB",'Fleet Tech - Tech'!N$15,IF($F64="AE",'Fleet Tech - Tech'!N$16,IF($F64="IX",'Fleet Tech - Tech'!N$17,IF($F64="BM",'Fleet Tech - Tech'!N$13,IF($F64="AR",'Fleet Tech - Tech'!N$12,IF($F64="SSV",'Fleet Tech - Tech'!N$14,"nil"))))))))))))))),0)</f>
        <v>0</v>
      </c>
      <c r="BH64" s="28"/>
      <c r="BI64" s="28"/>
      <c r="BJ64" s="28"/>
      <c r="BK64" s="28"/>
      <c r="BL64" s="28"/>
      <c r="BM64" s="28"/>
      <c r="BN64" s="28"/>
      <c r="BO64" s="28"/>
      <c r="BP64" s="28"/>
      <c r="BQ64" s="28"/>
      <c r="BR64" s="28"/>
      <c r="BS64" s="28"/>
      <c r="BT64" s="28"/>
      <c r="BU64" s="28"/>
      <c r="BV64" s="28"/>
      <c r="BW64" s="28"/>
      <c r="BX64" s="12">
        <v>-1</v>
      </c>
      <c r="BY64" s="12">
        <v>-1</v>
      </c>
      <c r="BZ64" s="12">
        <v>-1</v>
      </c>
      <c r="CA64" s="12">
        <v>-1</v>
      </c>
      <c r="CB64" s="12">
        <v>-1</v>
      </c>
      <c r="CC64" s="12">
        <v>-1</v>
      </c>
      <c r="CD64" s="12">
        <v>-1</v>
      </c>
      <c r="CE64" s="12">
        <v>-1</v>
      </c>
      <c r="CF64" s="12">
        <v>-1</v>
      </c>
      <c r="CG64" s="12">
        <v>-1</v>
      </c>
      <c r="CH64" s="12">
        <v>-1</v>
      </c>
      <c r="CI64" s="12">
        <v>-1</v>
      </c>
      <c r="CJ64" s="47"/>
      <c r="CK64" s="48">
        <f>IF(BX64=5,320,IF(BX64=4,195,IF(BX64=3,132,IF(BX64=2,90,IF(BX64=1,58,IF(BX64=-1,0,35))))))</f>
        <v>0</v>
      </c>
      <c r="CL64" s="48">
        <f>IF(BX64=5,20,IF(BX64=4,15,IF(BX64=3,12,IF(BX64=2,10,IF(BX64=1,8,IF(BX64=-1,0,5))))))</f>
        <v>0</v>
      </c>
      <c r="CM64" s="48">
        <f>IF(BZ64=5,320,IF(BZ64=4,195,IF(BZ64=3,132,IF(BZ64=2,90,IF(BZ64=1,58,IF(BZ64=-1,0,35))))))</f>
        <v>0</v>
      </c>
      <c r="CN64" s="48">
        <f>IF(BZ64=5,20,IF(BZ64=4,15,IF(BZ64=3,12,IF(BZ64=2,10,IF(BZ64=1,8,IF(BZ64=-1,0,5))))))</f>
        <v>0</v>
      </c>
      <c r="CO64" s="48">
        <f>IF(CB64=5,320,IF(CB64=4,195,IF(CB64=3,132,IF(CB64=2,90,IF(CB64=1,58,IF(CB64=-1,0,35))))))</f>
        <v>0</v>
      </c>
      <c r="CP64" s="48">
        <f>IF(CB64=5,20,IF(CB64=4,15,IF(CB64=3,12,IF(CB64=2,10,IF(CB64=1,8,IF(CB64=-1,0,5))))))</f>
        <v>0</v>
      </c>
      <c r="CQ64" s="48">
        <f>IF(CD64=5,320,IF(CD64=4,195,IF(CD64=3,132,IF(CD64=2,90,IF(CD64=1,58,IF(CD64=-1,0,35))))))</f>
        <v>0</v>
      </c>
      <c r="CR64" s="48">
        <f>IF(CD64=5,20,IF(CD64=4,15,IF(CD64=3,12,IF(CD64=2,10,IF(CD64=1,8,IF(CD64=-1,0,5))))))</f>
        <v>0</v>
      </c>
      <c r="CS64" s="48">
        <f>IF(CF64=5,320,IF(CF64=4,195,IF(CF64=3,132,IF(CF64=2,90,IF(CF64=1,58,IF(CF64=-1,0,35))))))</f>
        <v>0</v>
      </c>
      <c r="CT64" s="48">
        <f>IF(CF64=5,20,IF(CF64=4,15,IF(CF64=3,12,IF(CF64=2,10,IF(CF64=1,8,IF(CF64=-1,0,5))))))</f>
        <v>0</v>
      </c>
      <c r="CU64" s="48">
        <f>IF(CH64=5,320,IF(CH64=4,195,IF(CH64=3,132,IF(CH64=2,90,IF(CH64=1,58,IF(CH64=-1,0,35))))))</f>
        <v>0</v>
      </c>
      <c r="CV64" s="48">
        <f>IF(CH64=5,20,IF(CH64=4,15,IF(CH64=3,12,IF(CH64=2,10,IF(CH64=1,8,IF(CH64=-1,0,5))))))</f>
        <v>0</v>
      </c>
      <c r="CW64" s="48">
        <f>IF(BY64&gt;10,(BY64/10)-ROUNDDOWN(BY64/10,0),0)+IF(CA64&gt;10,(CA64/10)-ROUNDDOWN(CA64/10,0),0)+IF(CC64&gt;10,(CC64/10)-ROUNDDOWN(CC64/10,0),0)+IF(CE64&gt;10,(CE64/10)-ROUNDDOWN(CE64/10,0),0)+IF(CG64&gt;10,(CG64/10)-ROUNDDOWN(CG64/10,0),0)+IF(CI64&gt;10,(CI64/10)-ROUNDDOWN(CI64/10,0),0)</f>
        <v>0</v>
      </c>
      <c r="CX64" s="48">
        <f>1+(CW64/10)</f>
        <v>1</v>
      </c>
    </row>
    <row r="65" ht="20.05" customHeight="1">
      <c r="A65" t="s" s="43">
        <v>344</v>
      </c>
      <c r="B65" s="49"/>
      <c r="C65" t="s" s="45">
        <v>279</v>
      </c>
      <c r="D65" s="13">
        <v>7</v>
      </c>
      <c r="E65" t="s" s="15">
        <v>232</v>
      </c>
      <c r="F65" t="s" s="15">
        <v>233</v>
      </c>
      <c r="G65" t="s" s="15">
        <v>282</v>
      </c>
      <c r="H65" s="12">
        <v>1</v>
      </c>
      <c r="I65" t="s" s="15">
        <v>235</v>
      </c>
      <c r="J65" s="12">
        <v>71</v>
      </c>
      <c r="K65" t="s" s="14">
        <v>236</v>
      </c>
      <c r="L65" t="s" s="15">
        <v>265</v>
      </c>
      <c r="M65" t="s" s="15">
        <v>22</v>
      </c>
      <c r="N65" s="46">
        <f>ROUND((SUM(AA65,T65:Y65,AC65:AE65,Z65*10)-AB65*15)*(IF(K65="Heavy",0.15,IF(K65="Medium",0,IF(K65="Light",-0.15,10)))+1),0)</f>
        <v>0</v>
      </c>
      <c r="O65" s="50"/>
      <c r="P65" s="46">
        <f>ROUNDDOWN((BI65+AU65+AG65)/5,0)+(BJ65+AV65+AH65)+(BN65+AZ65+AL65)+(BO65+BA65+AM65)+(BK65+AW65+AI65)+(BS65+BE65+AQ65)+(BL65+AX65+AJ65)+(BQ65+BC65+AO65)+(2*((BT65+BF65+AR65)+(BU65+BG65+AS65)))+(CK65+CM65+CO65+CQ65+CS65+CU65)+(CL65*BY65)+(CN65*CA65)+(CP65+CC65)+(CR65+CE65)+(CT65+CG65)+(CV65+CI65)+BV65</f>
        <v>-4</v>
      </c>
      <c r="Q65" s="46">
        <f>ROUNDDOWN(((S65/5)+T65+X65+Y65+U65+AC65+V65+AA65+(2*(AD65+AE65))+CK65+CM65+CO65+CQ65+CS65+CU65+(CL65*BX65)+(CN65*BZ65)+(CP65*CB65)+(CR65*CD65)+(CT65*CF65)+(CV65*CH65))*CX65,0)</f>
        <v>0</v>
      </c>
      <c r="R65" s="46">
        <f>ROUNDDOWN(AVERAGE(P65:Q65),0)</f>
        <v>-2</v>
      </c>
      <c r="S65" s="12">
        <f>AG65+AU65+BI65</f>
        <v>0</v>
      </c>
      <c r="T65" s="12">
        <f>AH65+AV65+BJ65</f>
        <v>0</v>
      </c>
      <c r="U65" s="12">
        <f>AI65+AW65+BK65</f>
        <v>0</v>
      </c>
      <c r="V65" s="12">
        <f>AJ65+AX65+BL65</f>
        <v>0</v>
      </c>
      <c r="W65" s="12">
        <f>AK65+AY65+BM65</f>
        <v>0</v>
      </c>
      <c r="X65" s="12">
        <f>AL65+AZ65+BN65</f>
        <v>0</v>
      </c>
      <c r="Y65" s="12">
        <f>AM65+BA65+BO65</f>
        <v>0</v>
      </c>
      <c r="Z65" s="12">
        <f>AN65+BB65+BP65</f>
        <v>0</v>
      </c>
      <c r="AA65" s="12">
        <f>AO65+BC65+BQ65</f>
        <v>0</v>
      </c>
      <c r="AB65" s="12">
        <f>AP65+BD65+BR65</f>
        <v>0</v>
      </c>
      <c r="AC65" s="12">
        <f>AQ65+BE65+BS65</f>
        <v>0</v>
      </c>
      <c r="AD65" s="12">
        <f>AR65+BF65+BT65</f>
        <v>0</v>
      </c>
      <c r="AE65" s="12">
        <f>AS65+BG65+BU65</f>
        <v>0</v>
      </c>
      <c r="AF65" s="28"/>
      <c r="AG65" s="28"/>
      <c r="AH65" s="28"/>
      <c r="AI65" s="28"/>
      <c r="AJ65" s="28"/>
      <c r="AK65" s="28"/>
      <c r="AL65" s="28"/>
      <c r="AM65" s="28"/>
      <c r="AN65" s="28"/>
      <c r="AO65" s="28"/>
      <c r="AP65" s="28"/>
      <c r="AQ65" s="28"/>
      <c r="AR65" s="28"/>
      <c r="AS65" s="28"/>
      <c r="AT65" s="28"/>
      <c r="AU65" s="12">
        <f>IF($H65=3,IF(OR($F65="DDV",$F65="DDG",$F65="DD"),'Fleet Tech - Tech'!B$3,IF($F65="CL",'Fleet Tech - Tech'!B$4,IF($F65="CA",'Fleet Tech - Tech'!B$5,IF($F65="BC",'Fleet Tech - Tech'!B$6,IF($F65="BB",'Fleet Tech - Tech'!B$7,IF($F65="CVL",'Fleet Tech - Tech'!B$8,IF($F65="CV",'Fleet Tech - Tech'!B$9,IF($F65="SS",'Fleet Tech - Tech'!B$10,IF($F65="BBV",'Fleet Tech - Tech'!B$11,IF($F65="CB",'Fleet Tech - Tech'!B$15,IF($F65="AE",'Fleet Tech - Tech'!B$16,IF($F65="IX",'Fleet Tech - Tech'!B$17,IF($F65="BM",'Fleet Tech - Tech'!B$13,IF($F65="AR",'Fleet Tech - Tech'!B$12,IF($F65="SSV",'Fleet Tech - Tech'!B$14,"nil"))))))))))))))),0)</f>
        <v>0</v>
      </c>
      <c r="AV65" s="12">
        <f>IF($H65=3,IF(OR($F65="DDV",$F65="DDG",$F65="DD"),'Fleet Tech - Tech'!C$3,IF($F65="CL",'Fleet Tech - Tech'!C$4,IF($F65="CA",'Fleet Tech - Tech'!C$5,IF($F65="BC",'Fleet Tech - Tech'!C$6,IF($F65="BB",'Fleet Tech - Tech'!C$7,IF($F65="CVL",'Fleet Tech - Tech'!C$8,IF($F65="CV",'Fleet Tech - Tech'!C$9,IF($F65="SS",'Fleet Tech - Tech'!C$10,IF($F65="BBV",'Fleet Tech - Tech'!C$11,IF($F65="CB",'Fleet Tech - Tech'!C$15,IF($F65="AE",'Fleet Tech - Tech'!C$16,IF($F65="IX",'Fleet Tech - Tech'!C$17,IF($F65="BM",'Fleet Tech - Tech'!C$13,IF($F65="AR",'Fleet Tech - Tech'!C$12,IF($F65="SSV",'Fleet Tech - Tech'!C$14,"nil"))))))))))))))),0)</f>
        <v>0</v>
      </c>
      <c r="AW65" s="12">
        <f>IF($H65=3,IF(OR($F65="DDV",$F65="DDG",$F65="DD"),'Fleet Tech - Tech'!D$3,IF($F65="CL",'Fleet Tech - Tech'!D$4,IF($F65="CA",'Fleet Tech - Tech'!D$5,IF($F65="BC",'Fleet Tech - Tech'!D$6,IF($F65="BB",'Fleet Tech - Tech'!D$7,IF($F65="CVL",'Fleet Tech - Tech'!D$8,IF($F65="CV",'Fleet Tech - Tech'!D$9,IF($F65="SS",'Fleet Tech - Tech'!D$10,IF($F65="BBV",'Fleet Tech - Tech'!D$11,IF($F65="CB",'Fleet Tech - Tech'!D$15,IF($F65="AE",'Fleet Tech - Tech'!D$16,IF($F65="IX",'Fleet Tech - Tech'!D$17,IF($F65="BM",'Fleet Tech - Tech'!D$13,IF($F65="AR",'Fleet Tech - Tech'!D$12,IF($F65="SSV",'Fleet Tech - Tech'!D$14,"nil"))))))))))))))),0)</f>
        <v>0</v>
      </c>
      <c r="AX65" s="12">
        <f>IF($H65=3,IF(OR($F65="DDV",$F65="DDG",$F65="DD"),'Fleet Tech - Tech'!E$3,IF($F65="CL",'Fleet Tech - Tech'!E$4,IF($F65="CA",'Fleet Tech - Tech'!E$5,IF($F65="BC",'Fleet Tech - Tech'!E$6,IF($F65="BB",'Fleet Tech - Tech'!E$7,IF($F65="CVL",'Fleet Tech - Tech'!E$8,IF($F65="CV",'Fleet Tech - Tech'!E$9,IF($F65="SS",'Fleet Tech - Tech'!E$10,IF($F65="BBV",'Fleet Tech - Tech'!E$11,IF($F65="CB",'Fleet Tech - Tech'!E$15,IF($F65="AE",'Fleet Tech - Tech'!E$16,IF($F65="IX",'Fleet Tech - Tech'!E$17,IF($F65="BM",'Fleet Tech - Tech'!E$13,IF($F65="AR",'Fleet Tech - Tech'!E$12,IF($F65="SSV",'Fleet Tech - Tech'!E$14,"nil"))))))))))))))),0)</f>
        <v>0</v>
      </c>
      <c r="AY65" s="12">
        <f>IF($H65=3,IF(OR($F65="DDV",$F65="DDG",$F65="DD"),'Fleet Tech - Tech'!F$3,IF($F65="CL",'Fleet Tech - Tech'!F$4,IF($F65="CA",'Fleet Tech - Tech'!F$5,IF($F65="BC",'Fleet Tech - Tech'!F$6,IF($F65="BB",'Fleet Tech - Tech'!F$7,IF($F65="CVL",'Fleet Tech - Tech'!F$8,IF($F65="CV",'Fleet Tech - Tech'!F$9,IF($F65="SS",'Fleet Tech - Tech'!F$10,IF($F65="BBV",'Fleet Tech - Tech'!F$11,IF($F65="CB",'Fleet Tech - Tech'!F$15,IF($F65="AE",'Fleet Tech - Tech'!F$16,IF($F65="IX",'Fleet Tech - Tech'!F$17,IF($F65="BM",'Fleet Tech - Tech'!F$13,IF($F65="AR",'Fleet Tech - Tech'!F$12,IF($F65="SSV",'Fleet Tech - Tech'!F$14,"nil"))))))))))))))),0)</f>
        <v>0</v>
      </c>
      <c r="AZ65" s="12">
        <f>IF($H65=3,IF(OR($F65="DDV",$F65="DDG",$F65="DD"),'Fleet Tech - Tech'!G$3,IF($F65="CL",'Fleet Tech - Tech'!G$4,IF($F65="CA",'Fleet Tech - Tech'!G$5,IF($F65="BC",'Fleet Tech - Tech'!G$6,IF($F65="BB",'Fleet Tech - Tech'!G$7,IF($F65="CVL",'Fleet Tech - Tech'!G$8,IF($F65="CV",'Fleet Tech - Tech'!G$9,IF($F65="SS",'Fleet Tech - Tech'!G$10,IF($F65="BBV",'Fleet Tech - Tech'!G$11,IF($F65="CB",'Fleet Tech - Tech'!G$15,IF($F65="AE",'Fleet Tech - Tech'!G$16,IF($F65="IX",'Fleet Tech - Tech'!G$17,IF($F65="BM",'Fleet Tech - Tech'!G$13,IF($F65="AR",'Fleet Tech - Tech'!G$12,IF($F65="SSV",'Fleet Tech - Tech'!G$14,"nil"))))))))))))))),0)</f>
        <v>0</v>
      </c>
      <c r="BA65" s="12">
        <f>IF($H65=3,IF(OR($F65="DDV",$F65="DDG",$F65="DD"),'Fleet Tech - Tech'!H$3,IF($F65="CL",'Fleet Tech - Tech'!H$4,IF($F65="CA",'Fleet Tech - Tech'!H$5,IF($F65="BC",'Fleet Tech - Tech'!H$6,IF($F65="BB",'Fleet Tech - Tech'!H$7,IF($F65="CVL",'Fleet Tech - Tech'!H$8,IF($F65="CV",'Fleet Tech - Tech'!H$9,IF($F65="SS",'Fleet Tech - Tech'!H$10,IF($F65="BBV",'Fleet Tech - Tech'!H$11,IF($F65="CB",'Fleet Tech - Tech'!H$15,IF($F65="AE",'Fleet Tech - Tech'!H$16,IF($F65="IX",'Fleet Tech - Tech'!H$17,IF($F65="BM",'Fleet Tech - Tech'!H$13,IF($F65="AR",'Fleet Tech - Tech'!H$12,IF($F65="SSV",'Fleet Tech - Tech'!H$14,"nil"))))))))))))))),0)</f>
        <v>0</v>
      </c>
      <c r="BB65" s="12">
        <f>IF($H65=3,IF(OR($F65="DDV",$F65="DDG",$F65="DD"),'Fleet Tech - Tech'!I$3,IF($F65="CL",'Fleet Tech - Tech'!I$4,IF($F65="CA",'Fleet Tech - Tech'!I$5,IF($F65="BC",'Fleet Tech - Tech'!I$6,IF($F65="BB",'Fleet Tech - Tech'!I$7,IF($F65="CVL",'Fleet Tech - Tech'!I$8,IF($F65="CV",'Fleet Tech - Tech'!I$9,IF($F65="SS",'Fleet Tech - Tech'!I$10,IF($F65="BBV",'Fleet Tech - Tech'!I$11,IF($F65="CB",'Fleet Tech - Tech'!I$15,IF($F65="AE",'Fleet Tech - Tech'!I$16,IF($F65="IX",'Fleet Tech - Tech'!I$17,IF($F65="BM",'Fleet Tech - Tech'!I$13,IF($F65="AR",'Fleet Tech - Tech'!I$12,IF($F65="SSV",'Fleet Tech - Tech'!I$14,"nil"))))))))))))))),0)</f>
        <v>0</v>
      </c>
      <c r="BC65" s="12">
        <f>IF($H65=3,IF(OR($F65="DDV",$F65="DDG",$F65="DD"),'Fleet Tech - Tech'!J$3,IF($F65="CL",'Fleet Tech - Tech'!J$4,IF($F65="CA",'Fleet Tech - Tech'!J$5,IF($F65="BC",'Fleet Tech - Tech'!J$6,IF($F65="BB",'Fleet Tech - Tech'!J$7,IF($F65="CVL",'Fleet Tech - Tech'!J$8,IF($F65="CV",'Fleet Tech - Tech'!J$9,IF($F65="SS",'Fleet Tech - Tech'!J$10,IF($F65="BBV",'Fleet Tech - Tech'!J$11,IF($F65="CB",'Fleet Tech - Tech'!J$15,IF($F65="AE",'Fleet Tech - Tech'!J$16,IF($F65="IX",'Fleet Tech - Tech'!J$17,IF($F65="BM",'Fleet Tech - Tech'!J$13,IF($F65="AR",'Fleet Tech - Tech'!J$12,IF($F65="SSV",'Fleet Tech - Tech'!J$14,"nil"))))))))))))))),0)</f>
        <v>0</v>
      </c>
      <c r="BD65" s="12">
        <f>IF($H65=3,IF(OR($F65="DDV",$F65="DDG",$F65="DD"),'Fleet Tech - Tech'!K$3,IF($F65="CL",'Fleet Tech - Tech'!K$4,IF($F65="CA",'Fleet Tech - Tech'!K$5,IF($F65="BC",'Fleet Tech - Tech'!K$6,IF($F65="BB",'Fleet Tech - Tech'!K$7,IF($F65="CVL",'Fleet Tech - Tech'!K$8,IF($F65="CV",'Fleet Tech - Tech'!K$9,IF($F65="SS",'Fleet Tech - Tech'!K$10,IF($F65="BBV",'Fleet Tech - Tech'!K$11,IF($F65="CB",'Fleet Tech - Tech'!K$15,IF($F65="AE",'Fleet Tech - Tech'!K$16,IF($F65="IX",'Fleet Tech - Tech'!K$17,IF($F65="BM",'Fleet Tech - Tech'!K$13,IF($F65="AR",'Fleet Tech - Tech'!K$12,IF($F65="SSV",'Fleet Tech - Tech'!K$14,"nil"))))))))))))))),0)</f>
        <v>0</v>
      </c>
      <c r="BE65" s="12">
        <f>IF($H65=3,IF(OR($F65="DDV",$F65="DDG",$F65="DD"),'Fleet Tech - Tech'!L$3,IF($F65="CL",'Fleet Tech - Tech'!L$4,IF($F65="CA",'Fleet Tech - Tech'!L$5,IF($F65="BC",'Fleet Tech - Tech'!L$6,IF($F65="BB",'Fleet Tech - Tech'!L$7,IF($F65="CVL",'Fleet Tech - Tech'!L$8,IF($F65="CV",'Fleet Tech - Tech'!L$9,IF($F65="SS",'Fleet Tech - Tech'!L$10,IF($F65="BBV",'Fleet Tech - Tech'!L$11,IF($F65="CB",'Fleet Tech - Tech'!L$15,IF($F65="AE",'Fleet Tech - Tech'!L$16,IF($F65="IX",'Fleet Tech - Tech'!L$17,IF($F65="BM",'Fleet Tech - Tech'!L$13,IF($F65="AR",'Fleet Tech - Tech'!L$12,IF($F65="SSV",'Fleet Tech - Tech'!L$14,"nil"))))))))))))))),0)</f>
        <v>0</v>
      </c>
      <c r="BF65" s="12">
        <f>IF($H65=3,IF(OR($F65="DDV",$F65="DDG",$F65="DD"),'Fleet Tech - Tech'!M$3,IF($F65="CL",'Fleet Tech - Tech'!M$4,IF($F65="CA",'Fleet Tech - Tech'!M$5,IF($F65="BC",'Fleet Tech - Tech'!M$6,IF($F65="BB",'Fleet Tech - Tech'!M$7,IF($F65="CVL",'Fleet Tech - Tech'!M$8,IF($F65="CV",'Fleet Tech - Tech'!M$9,IF($F65="SS",'Fleet Tech - Tech'!M$10,IF($F65="BBV",'Fleet Tech - Tech'!M$11,IF($F65="CB",'Fleet Tech - Tech'!M$15,IF($F65="AE",'Fleet Tech - Tech'!M$16,IF($F65="IX",'Fleet Tech - Tech'!M$17,IF($F65="BM",'Fleet Tech - Tech'!M$13,IF($F65="AR",'Fleet Tech - Tech'!M$12,IF($F65="SSV",'Fleet Tech - Tech'!M$14,"nil"))))))))))))))),0)</f>
        <v>0</v>
      </c>
      <c r="BG65" s="12">
        <f>IF($H65=3,IF(OR($F65="DDV",$F65="DDG",$F65="DD"),'Fleet Tech - Tech'!N$3,IF($F65="CL",'Fleet Tech - Tech'!N$4,IF($F65="CA",'Fleet Tech - Tech'!N$5,IF($F65="BC",'Fleet Tech - Tech'!N$6,IF($F65="BB",'Fleet Tech - Tech'!N$7,IF($F65="CVL",'Fleet Tech - Tech'!N$8,IF($F65="CV",'Fleet Tech - Tech'!N$9,IF($F65="SS",'Fleet Tech - Tech'!N$10,IF($F65="BBV",'Fleet Tech - Tech'!N$11,IF($F65="CB",'Fleet Tech - Tech'!N$15,IF($F65="AE",'Fleet Tech - Tech'!N$16,IF($F65="IX",'Fleet Tech - Tech'!N$17,IF($F65="BM",'Fleet Tech - Tech'!N$13,IF($F65="AR",'Fleet Tech - Tech'!N$12,IF($F65="SSV",'Fleet Tech - Tech'!N$14,"nil"))))))))))))))),0)</f>
        <v>0</v>
      </c>
      <c r="BH65" s="28"/>
      <c r="BI65" s="28"/>
      <c r="BJ65" s="28"/>
      <c r="BK65" s="28"/>
      <c r="BL65" s="28"/>
      <c r="BM65" s="28"/>
      <c r="BN65" s="28"/>
      <c r="BO65" s="28"/>
      <c r="BP65" s="28"/>
      <c r="BQ65" s="28"/>
      <c r="BR65" s="28"/>
      <c r="BS65" s="28"/>
      <c r="BT65" s="28"/>
      <c r="BU65" s="28"/>
      <c r="BV65" s="28"/>
      <c r="BW65" s="28"/>
      <c r="BX65" s="12">
        <v>-1</v>
      </c>
      <c r="BY65" s="12">
        <v>-1</v>
      </c>
      <c r="BZ65" s="12">
        <v>-1</v>
      </c>
      <c r="CA65" s="12">
        <v>-1</v>
      </c>
      <c r="CB65" s="12">
        <v>-1</v>
      </c>
      <c r="CC65" s="12">
        <v>-1</v>
      </c>
      <c r="CD65" s="12">
        <v>-1</v>
      </c>
      <c r="CE65" s="12">
        <v>-1</v>
      </c>
      <c r="CF65" s="12">
        <v>-1</v>
      </c>
      <c r="CG65" s="12">
        <v>-1</v>
      </c>
      <c r="CH65" s="12">
        <v>-1</v>
      </c>
      <c r="CI65" s="12">
        <v>-1</v>
      </c>
      <c r="CJ65" s="47"/>
      <c r="CK65" s="48">
        <f>IF(BX65=5,320,IF(BX65=4,195,IF(BX65=3,132,IF(BX65=2,90,IF(BX65=1,58,IF(BX65=-1,0,35))))))</f>
        <v>0</v>
      </c>
      <c r="CL65" s="48">
        <f>IF(BX65=5,20,IF(BX65=4,15,IF(BX65=3,12,IF(BX65=2,10,IF(BX65=1,8,IF(BX65=-1,0,5))))))</f>
        <v>0</v>
      </c>
      <c r="CM65" s="48">
        <f>IF(BZ65=5,320,IF(BZ65=4,195,IF(BZ65=3,132,IF(BZ65=2,90,IF(BZ65=1,58,IF(BZ65=-1,0,35))))))</f>
        <v>0</v>
      </c>
      <c r="CN65" s="48">
        <f>IF(BZ65=5,20,IF(BZ65=4,15,IF(BZ65=3,12,IF(BZ65=2,10,IF(BZ65=1,8,IF(BZ65=-1,0,5))))))</f>
        <v>0</v>
      </c>
      <c r="CO65" s="48">
        <f>IF(CB65=5,320,IF(CB65=4,195,IF(CB65=3,132,IF(CB65=2,90,IF(CB65=1,58,IF(CB65=-1,0,35))))))</f>
        <v>0</v>
      </c>
      <c r="CP65" s="48">
        <f>IF(CB65=5,20,IF(CB65=4,15,IF(CB65=3,12,IF(CB65=2,10,IF(CB65=1,8,IF(CB65=-1,0,5))))))</f>
        <v>0</v>
      </c>
      <c r="CQ65" s="48">
        <f>IF(CD65=5,320,IF(CD65=4,195,IF(CD65=3,132,IF(CD65=2,90,IF(CD65=1,58,IF(CD65=-1,0,35))))))</f>
        <v>0</v>
      </c>
      <c r="CR65" s="48">
        <f>IF(CD65=5,20,IF(CD65=4,15,IF(CD65=3,12,IF(CD65=2,10,IF(CD65=1,8,IF(CD65=-1,0,5))))))</f>
        <v>0</v>
      </c>
      <c r="CS65" s="48">
        <f>IF(CF65=5,320,IF(CF65=4,195,IF(CF65=3,132,IF(CF65=2,90,IF(CF65=1,58,IF(CF65=-1,0,35))))))</f>
        <v>0</v>
      </c>
      <c r="CT65" s="48">
        <f>IF(CF65=5,20,IF(CF65=4,15,IF(CF65=3,12,IF(CF65=2,10,IF(CF65=1,8,IF(CF65=-1,0,5))))))</f>
        <v>0</v>
      </c>
      <c r="CU65" s="48">
        <f>IF(CH65=5,320,IF(CH65=4,195,IF(CH65=3,132,IF(CH65=2,90,IF(CH65=1,58,IF(CH65=-1,0,35))))))</f>
        <v>0</v>
      </c>
      <c r="CV65" s="48">
        <f>IF(CH65=5,20,IF(CH65=4,15,IF(CH65=3,12,IF(CH65=2,10,IF(CH65=1,8,IF(CH65=-1,0,5))))))</f>
        <v>0</v>
      </c>
      <c r="CW65" s="48">
        <f>IF(BY65&gt;10,(BY65/10)-ROUNDDOWN(BY65/10,0),0)+IF(CA65&gt;10,(CA65/10)-ROUNDDOWN(CA65/10,0),0)+IF(CC65&gt;10,(CC65/10)-ROUNDDOWN(CC65/10,0),0)+IF(CE65&gt;10,(CE65/10)-ROUNDDOWN(CE65/10,0),0)+IF(CG65&gt;10,(CG65/10)-ROUNDDOWN(CG65/10,0),0)+IF(CI65&gt;10,(CI65/10)-ROUNDDOWN(CI65/10,0),0)</f>
        <v>0</v>
      </c>
      <c r="CX65" s="48">
        <f>1+(CW65/10)</f>
        <v>1</v>
      </c>
    </row>
    <row r="66" ht="20.05" customHeight="1">
      <c r="A66" t="s" s="43">
        <v>345</v>
      </c>
      <c r="B66" s="49"/>
      <c r="C66" t="s" s="45">
        <v>279</v>
      </c>
      <c r="D66" s="13">
        <v>7</v>
      </c>
      <c r="E66" t="s" s="15">
        <v>240</v>
      </c>
      <c r="F66" t="s" s="15">
        <v>280</v>
      </c>
      <c r="G66" t="s" s="15">
        <v>282</v>
      </c>
      <c r="H66" s="12">
        <v>3</v>
      </c>
      <c r="I66" t="s" s="15">
        <v>273</v>
      </c>
      <c r="J66" s="12">
        <v>71</v>
      </c>
      <c r="K66" t="s" s="14">
        <v>264</v>
      </c>
      <c r="L66" t="s" s="15">
        <v>237</v>
      </c>
      <c r="M66" t="s" s="15">
        <v>19</v>
      </c>
      <c r="N66" s="46">
        <f>ROUND((SUM(AA66,T66:Y66,AC66:AE66,Z66*10)-AB66*15)*(IF(K66="Heavy",0.15,IF(K66="Medium",0,IF(K66="Light",-0.15,10)))+1),0)</f>
        <v>591</v>
      </c>
      <c r="O66" s="46">
        <v>2053</v>
      </c>
      <c r="P66" s="46">
        <f>ROUNDDOWN((BI66+AU66+AG66)/5,0)+(BJ66+AV66+AH66)+(BN66+AZ66+AL66)+(BO66+BA66+AM66)+(BK66+AW66+AI66)+(BS66+BE66+AQ66)+(BL66+AX66+AJ66)+(BQ66+BC66+AO66)+(2*((BT66+BF66+AR66)+(BU66+BG66+AS66)))+(CK66+CM66+CO66+CQ66+CS66+CU66)+(CL66*BY66)+(CN66*CA66)+(CP66+CC66)+(CR66+CE66)+(CT66+CG66)+(CV66+CI66)+BV66</f>
        <v>2384</v>
      </c>
      <c r="Q66" s="46">
        <f>ROUNDDOWN(((S66/5)+T66+X66+Y66+U66+AC66+V66+AA66+(2*(AD66+AE66))+CK66+CM66+CO66+CQ66+CS66+CU66+(CL66*BX66)+(CN66*BZ66)+(CP66*CB66)+(CR66*CD66)+(CT66*CF66)+(CV66*CH66))*CX66,0)</f>
        <v>2053</v>
      </c>
      <c r="R66" s="46">
        <f>ROUNDDOWN(AVERAGE(P66:Q66),0)</f>
        <v>2218</v>
      </c>
      <c r="S66" s="12">
        <f>AG66+AU66+BI66</f>
        <v>6301</v>
      </c>
      <c r="T66" s="12">
        <f>AH66+AV66+BJ66</f>
        <v>325</v>
      </c>
      <c r="U66" s="12">
        <f>AI66+AW66+BK66</f>
        <v>180</v>
      </c>
      <c r="V66" s="12">
        <f>AJ66+AX66+BL66</f>
        <v>0</v>
      </c>
      <c r="W66" s="12">
        <f>AK66+AY66+BM66</f>
        <v>1</v>
      </c>
      <c r="X66" s="12">
        <f>AL66+AZ66+BN66</f>
        <v>0</v>
      </c>
      <c r="Y66" s="12">
        <f>AM66+BA66+BO66</f>
        <v>0</v>
      </c>
      <c r="Z66" s="12">
        <f>AN66+BB66+BP66</f>
        <v>0</v>
      </c>
      <c r="AA66" s="12">
        <f>AO66+BC66+BQ66</f>
        <v>28</v>
      </c>
      <c r="AB66" s="12">
        <f>AP66+BD66+BR66</f>
        <v>14</v>
      </c>
      <c r="AC66" s="12">
        <f>AQ66+BE66+BS66</f>
        <v>120</v>
      </c>
      <c r="AD66" s="12">
        <f>AR66+BF66+BT66</f>
        <v>23</v>
      </c>
      <c r="AE66" s="12">
        <f>AS66+BG66+BU66</f>
        <v>47</v>
      </c>
      <c r="AF66" s="28"/>
      <c r="AG66" s="28"/>
      <c r="AH66" s="28"/>
      <c r="AI66" s="28"/>
      <c r="AJ66" s="28"/>
      <c r="AK66" s="28"/>
      <c r="AL66" s="28"/>
      <c r="AM66" s="28"/>
      <c r="AN66" s="28"/>
      <c r="AO66" s="28"/>
      <c r="AP66" s="28"/>
      <c r="AQ66" s="28"/>
      <c r="AR66" s="28"/>
      <c r="AS66" s="28"/>
      <c r="AT66" s="28"/>
      <c r="AU66" s="12">
        <f>IF($H66=3,IF(OR($F66="DDV",$F66="DDG",$F66="DD"),'Fleet Tech - Tech'!B$3,IF($F66="CL",'Fleet Tech - Tech'!B$4,IF($F66="CA",'Fleet Tech - Tech'!B$5,IF($F66="BC",'Fleet Tech - Tech'!B$6,IF($F66="BB",'Fleet Tech - Tech'!B$7,IF($F66="CVL",'Fleet Tech - Tech'!B$8,IF($F66="CV",'Fleet Tech - Tech'!B$9,IF($F66="SS",'Fleet Tech - Tech'!B$10,IF($F66="BBV",'Fleet Tech - Tech'!B$11,IF($F66="CB",'Fleet Tech - Tech'!B$15,IF($F66="AE",'Fleet Tech - Tech'!B$16,IF($F66="IX",'Fleet Tech - Tech'!B$17,IF($F66="BM",'Fleet Tech - Tech'!B$13,IF($F66="AR",'Fleet Tech - Tech'!B$12,IF($F66="SSV",'Fleet Tech - Tech'!B$14,"nil"))))))))))))))),0)</f>
        <v>82</v>
      </c>
      <c r="AV66" s="12">
        <f>IF($H66=3,IF(OR($F66="DDV",$F66="DDG",$F66="DD"),'Fleet Tech - Tech'!C$3,IF($F66="CL",'Fleet Tech - Tech'!C$4,IF($F66="CA",'Fleet Tech - Tech'!C$5,IF($F66="BC",'Fleet Tech - Tech'!C$6,IF($F66="BB",'Fleet Tech - Tech'!C$7,IF($F66="CVL",'Fleet Tech - Tech'!C$8,IF($F66="CV",'Fleet Tech - Tech'!C$9,IF($F66="SS",'Fleet Tech - Tech'!C$10,IF($F66="BBV",'Fleet Tech - Tech'!C$11,IF($F66="CB",'Fleet Tech - Tech'!C$15,IF($F66="AE",'Fleet Tech - Tech'!C$16,IF($F66="IX",'Fleet Tech - Tech'!C$17,IF($F66="BM",'Fleet Tech - Tech'!C$13,IF($F66="AR",'Fleet Tech - Tech'!C$12,IF($F66="SSV",'Fleet Tech - Tech'!C$14,"nil"))))))))))))))),0)</f>
        <v>2</v>
      </c>
      <c r="AW66" s="12">
        <f>IF($H66=3,IF(OR($F66="DDV",$F66="DDG",$F66="DD"),'Fleet Tech - Tech'!D$3,IF($F66="CL",'Fleet Tech - Tech'!D$4,IF($F66="CA",'Fleet Tech - Tech'!D$5,IF($F66="BC",'Fleet Tech - Tech'!D$6,IF($F66="BB",'Fleet Tech - Tech'!D$7,IF($F66="CVL",'Fleet Tech - Tech'!D$8,IF($F66="CV",'Fleet Tech - Tech'!D$9,IF($F66="SS",'Fleet Tech - Tech'!D$10,IF($F66="BBV",'Fleet Tech - Tech'!D$11,IF($F66="CB",'Fleet Tech - Tech'!D$15,IF($F66="AE",'Fleet Tech - Tech'!D$16,IF($F66="IX",'Fleet Tech - Tech'!D$17,IF($F66="BM",'Fleet Tech - Tech'!D$13,IF($F66="AR",'Fleet Tech - Tech'!D$12,IF($F66="SSV",'Fleet Tech - Tech'!D$14,"nil"))))))))))))))),0)</f>
        <v>4</v>
      </c>
      <c r="AX66" s="12">
        <f>IF($H66=3,IF(OR($F66="DDV",$F66="DDG",$F66="DD"),'Fleet Tech - Tech'!E$3,IF($F66="CL",'Fleet Tech - Tech'!E$4,IF($F66="CA",'Fleet Tech - Tech'!E$5,IF($F66="BC",'Fleet Tech - Tech'!E$6,IF($F66="BB",'Fleet Tech - Tech'!E$7,IF($F66="CVL",'Fleet Tech - Tech'!E$8,IF($F66="CV",'Fleet Tech - Tech'!E$9,IF($F66="SS",'Fleet Tech - Tech'!E$10,IF($F66="BBV",'Fleet Tech - Tech'!E$11,IF($F66="CB",'Fleet Tech - Tech'!E$15,IF($F66="AE",'Fleet Tech - Tech'!E$16,IF($F66="IX",'Fleet Tech - Tech'!E$17,IF($F66="BM",'Fleet Tech - Tech'!E$13,IF($F66="AR",'Fleet Tech - Tech'!E$12,IF($F66="SSV",'Fleet Tech - Tech'!E$14,"nil"))))))))))))))),0)</f>
        <v>0</v>
      </c>
      <c r="AY66" s="12">
        <f>IF($H66=3,IF(OR($F66="DDV",$F66="DDG",$F66="DD"),'Fleet Tech - Tech'!F$3,IF($F66="CL",'Fleet Tech - Tech'!F$4,IF($F66="CA",'Fleet Tech - Tech'!F$5,IF($F66="BC",'Fleet Tech - Tech'!F$6,IF($F66="BB",'Fleet Tech - Tech'!F$7,IF($F66="CVL",'Fleet Tech - Tech'!F$8,IF($F66="CV",'Fleet Tech - Tech'!F$9,IF($F66="SS",'Fleet Tech - Tech'!F$10,IF($F66="BBV",'Fleet Tech - Tech'!F$11,IF($F66="CB",'Fleet Tech - Tech'!F$15,IF($F66="AE",'Fleet Tech - Tech'!F$16,IF($F66="IX",'Fleet Tech - Tech'!F$17,IF($F66="BM",'Fleet Tech - Tech'!F$13,IF($F66="AR",'Fleet Tech - Tech'!F$12,IF($F66="SSV",'Fleet Tech - Tech'!F$14,"nil"))))))))))))))),0)</f>
        <v>0</v>
      </c>
      <c r="AZ66" s="12">
        <f>IF($H66=3,IF(OR($F66="DDV",$F66="DDG",$F66="DD"),'Fleet Tech - Tech'!G$3,IF($F66="CL",'Fleet Tech - Tech'!G$4,IF($F66="CA",'Fleet Tech - Tech'!G$5,IF($F66="BC",'Fleet Tech - Tech'!G$6,IF($F66="BB",'Fleet Tech - Tech'!G$7,IF($F66="CVL",'Fleet Tech - Tech'!G$8,IF($F66="CV",'Fleet Tech - Tech'!G$9,IF($F66="SS",'Fleet Tech - Tech'!G$10,IF($F66="BBV",'Fleet Tech - Tech'!G$11,IF($F66="CB",'Fleet Tech - Tech'!G$15,IF($F66="AE",'Fleet Tech - Tech'!G$16,IF($F66="IX",'Fleet Tech - Tech'!G$17,IF($F66="BM",'Fleet Tech - Tech'!G$13,IF($F66="AR",'Fleet Tech - Tech'!G$12,IF($F66="SSV",'Fleet Tech - Tech'!G$14,"nil"))))))))))))))),0)</f>
        <v>0</v>
      </c>
      <c r="BA66" s="12">
        <f>IF($H66=3,IF(OR($F66="DDV",$F66="DDG",$F66="DD"),'Fleet Tech - Tech'!H$3,IF($F66="CL",'Fleet Tech - Tech'!H$4,IF($F66="CA",'Fleet Tech - Tech'!H$5,IF($F66="BC",'Fleet Tech - Tech'!H$6,IF($F66="BB",'Fleet Tech - Tech'!H$7,IF($F66="CVL",'Fleet Tech - Tech'!H$8,IF($F66="CV",'Fleet Tech - Tech'!H$9,IF($F66="SS",'Fleet Tech - Tech'!H$10,IF($F66="BBV",'Fleet Tech - Tech'!H$11,IF($F66="CB",'Fleet Tech - Tech'!H$15,IF($F66="AE",'Fleet Tech - Tech'!H$16,IF($F66="IX",'Fleet Tech - Tech'!H$17,IF($F66="BM",'Fleet Tech - Tech'!H$13,IF($F66="AR",'Fleet Tech - Tech'!H$12,IF($F66="SSV",'Fleet Tech - Tech'!H$14,"nil"))))))))))))))),0)</f>
        <v>0</v>
      </c>
      <c r="BB66" s="12">
        <f>IF($H66=3,IF(OR($F66="DDV",$F66="DDG",$F66="DD"),'Fleet Tech - Tech'!I$3,IF($F66="CL",'Fleet Tech - Tech'!I$4,IF($F66="CA",'Fleet Tech - Tech'!I$5,IF($F66="BC",'Fleet Tech - Tech'!I$6,IF($F66="BB",'Fleet Tech - Tech'!I$7,IF($F66="CVL",'Fleet Tech - Tech'!I$8,IF($F66="CV",'Fleet Tech - Tech'!I$9,IF($F66="SS",'Fleet Tech - Tech'!I$10,IF($F66="BBV",'Fleet Tech - Tech'!I$11,IF($F66="CB",'Fleet Tech - Tech'!I$15,IF($F66="AE",'Fleet Tech - Tech'!I$16,IF($F66="IX",'Fleet Tech - Tech'!I$17,IF($F66="BM",'Fleet Tech - Tech'!I$13,IF($F66="AR",'Fleet Tech - Tech'!I$12,IF($F66="SSV",'Fleet Tech - Tech'!I$14,"nil"))))))))))))))),0)</f>
        <v>0</v>
      </c>
      <c r="BC66" s="12">
        <f>IF($H66=3,IF(OR($F66="DDV",$F66="DDG",$F66="DD"),'Fleet Tech - Tech'!J$3,IF($F66="CL",'Fleet Tech - Tech'!J$4,IF($F66="CA",'Fleet Tech - Tech'!J$5,IF($F66="BC",'Fleet Tech - Tech'!J$6,IF($F66="BB",'Fleet Tech - Tech'!J$7,IF($F66="CVL",'Fleet Tech - Tech'!J$8,IF($F66="CV",'Fleet Tech - Tech'!J$9,IF($F66="SS",'Fleet Tech - Tech'!J$10,IF($F66="BBV",'Fleet Tech - Tech'!J$11,IF($F66="CB",'Fleet Tech - Tech'!J$15,IF($F66="AE",'Fleet Tech - Tech'!J$16,IF($F66="IX",'Fleet Tech - Tech'!J$17,IF($F66="BM",'Fleet Tech - Tech'!J$13,IF($F66="AR",'Fleet Tech - Tech'!J$12,IF($F66="SSV",'Fleet Tech - Tech'!J$14,"nil"))))))))))))))),0)</f>
        <v>0</v>
      </c>
      <c r="BD66" s="12">
        <f>IF($H66=3,IF(OR($F66="DDV",$F66="DDG",$F66="DD"),'Fleet Tech - Tech'!K$3,IF($F66="CL",'Fleet Tech - Tech'!K$4,IF($F66="CA",'Fleet Tech - Tech'!K$5,IF($F66="BC",'Fleet Tech - Tech'!K$6,IF($F66="BB",'Fleet Tech - Tech'!K$7,IF($F66="CVL",'Fleet Tech - Tech'!K$8,IF($F66="CV",'Fleet Tech - Tech'!K$9,IF($F66="SS",'Fleet Tech - Tech'!K$10,IF($F66="BBV",'Fleet Tech - Tech'!K$11,IF($F66="CB",'Fleet Tech - Tech'!K$15,IF($F66="AE",'Fleet Tech - Tech'!K$16,IF($F66="IX",'Fleet Tech - Tech'!K$17,IF($F66="BM",'Fleet Tech - Tech'!K$13,IF($F66="AR",'Fleet Tech - Tech'!K$12,IF($F66="SSV",'Fleet Tech - Tech'!K$14,"nil"))))))))))))))),0)</f>
        <v>0</v>
      </c>
      <c r="BE66" s="12">
        <f>IF($H66=3,IF(OR($F66="DDV",$F66="DDG",$F66="DD"),'Fleet Tech - Tech'!L$3,IF($F66="CL",'Fleet Tech - Tech'!L$4,IF($F66="CA",'Fleet Tech - Tech'!L$5,IF($F66="BC",'Fleet Tech - Tech'!L$6,IF($F66="BB",'Fleet Tech - Tech'!L$7,IF($F66="CVL",'Fleet Tech - Tech'!L$8,IF($F66="CV",'Fleet Tech - Tech'!L$9,IF($F66="SS",'Fleet Tech - Tech'!L$10,IF($F66="BBV",'Fleet Tech - Tech'!L$11,IF($F66="CB",'Fleet Tech - Tech'!L$15,IF($F66="AE",'Fleet Tech - Tech'!L$16,IF($F66="IX",'Fleet Tech - Tech'!L$17,IF($F66="BM",'Fleet Tech - Tech'!L$13,IF($F66="AR",'Fleet Tech - Tech'!L$12,IF($F66="SSV",'Fleet Tech - Tech'!L$14,"nil"))))))))))))))),0)</f>
        <v>0</v>
      </c>
      <c r="BF66" s="12">
        <f>IF($H66=3,IF(OR($F66="DDV",$F66="DDG",$F66="DD"),'Fleet Tech - Tech'!M$3,IF($F66="CL",'Fleet Tech - Tech'!M$4,IF($F66="CA",'Fleet Tech - Tech'!M$5,IF($F66="BC",'Fleet Tech - Tech'!M$6,IF($F66="BB",'Fleet Tech - Tech'!M$7,IF($F66="CVL",'Fleet Tech - Tech'!M$8,IF($F66="CV",'Fleet Tech - Tech'!M$9,IF($F66="SS",'Fleet Tech - Tech'!M$10,IF($F66="BBV",'Fleet Tech - Tech'!M$11,IF($F66="CB",'Fleet Tech - Tech'!M$15,IF($F66="AE",'Fleet Tech - Tech'!M$16,IF($F66="IX",'Fleet Tech - Tech'!M$17,IF($F66="BM",'Fleet Tech - Tech'!M$13,IF($F66="AR",'Fleet Tech - Tech'!M$12,IF($F66="SSV",'Fleet Tech - Tech'!M$14,"nil"))))))))))))))),0)</f>
        <v>0</v>
      </c>
      <c r="BG66" s="12">
        <f>IF($H66=3,IF(OR($F66="DDV",$F66="DDG",$F66="DD"),'Fleet Tech - Tech'!N$3,IF($F66="CL",'Fleet Tech - Tech'!N$4,IF($F66="CA",'Fleet Tech - Tech'!N$5,IF($F66="BC",'Fleet Tech - Tech'!N$6,IF($F66="BB",'Fleet Tech - Tech'!N$7,IF($F66="CVL",'Fleet Tech - Tech'!N$8,IF($F66="CV",'Fleet Tech - Tech'!N$9,IF($F66="SS",'Fleet Tech - Tech'!N$10,IF($F66="BBV",'Fleet Tech - Tech'!N$11,IF($F66="CB",'Fleet Tech - Tech'!N$15,IF($F66="AE",'Fleet Tech - Tech'!N$16,IF($F66="IX",'Fleet Tech - Tech'!N$17,IF($F66="BM",'Fleet Tech - Tech'!N$13,IF($F66="AR",'Fleet Tech - Tech'!N$12,IF($F66="SSV",'Fleet Tech - Tech'!N$14,"nil"))))))))))))))),0)</f>
        <v>2</v>
      </c>
      <c r="BH66" s="28"/>
      <c r="BI66" s="12">
        <v>6219</v>
      </c>
      <c r="BJ66" s="12">
        <v>323</v>
      </c>
      <c r="BK66" s="12">
        <v>176</v>
      </c>
      <c r="BL66" s="28"/>
      <c r="BM66" s="12">
        <v>1</v>
      </c>
      <c r="BN66" s="28"/>
      <c r="BO66" s="28"/>
      <c r="BP66" s="28"/>
      <c r="BQ66" s="12">
        <v>28</v>
      </c>
      <c r="BR66" s="12">
        <v>14</v>
      </c>
      <c r="BS66" s="12">
        <v>120</v>
      </c>
      <c r="BT66" s="12">
        <v>23</v>
      </c>
      <c r="BU66" s="12">
        <v>45</v>
      </c>
      <c r="BV66" s="12">
        <v>335</v>
      </c>
      <c r="BW66" s="28"/>
      <c r="BX66" s="12">
        <v>-1</v>
      </c>
      <c r="BY66" s="12">
        <v>-1</v>
      </c>
      <c r="BZ66" s="12">
        <v>-1</v>
      </c>
      <c r="CA66" s="12">
        <v>-1</v>
      </c>
      <c r="CB66" s="12">
        <v>-1</v>
      </c>
      <c r="CC66" s="12">
        <v>-1</v>
      </c>
      <c r="CD66" s="12">
        <v>-1</v>
      </c>
      <c r="CE66" s="12">
        <v>-1</v>
      </c>
      <c r="CF66" s="12">
        <v>-1</v>
      </c>
      <c r="CG66" s="12">
        <v>-1</v>
      </c>
      <c r="CH66" s="12">
        <v>-1</v>
      </c>
      <c r="CI66" s="12">
        <v>-1</v>
      </c>
      <c r="CJ66" s="47"/>
      <c r="CK66" s="48">
        <f>IF(BX66=5,320,IF(BX66=4,195,IF(BX66=3,132,IF(BX66=2,90,IF(BX66=1,58,IF(BX66=-1,0,35))))))</f>
        <v>0</v>
      </c>
      <c r="CL66" s="48">
        <f>IF(BX66=5,20,IF(BX66=4,15,IF(BX66=3,12,IF(BX66=2,10,IF(BX66=1,8,IF(BX66=-1,0,5))))))</f>
        <v>0</v>
      </c>
      <c r="CM66" s="48">
        <f>IF(BZ66=5,320,IF(BZ66=4,195,IF(BZ66=3,132,IF(BZ66=2,90,IF(BZ66=1,58,IF(BZ66=-1,0,35))))))</f>
        <v>0</v>
      </c>
      <c r="CN66" s="48">
        <f>IF(BZ66=5,20,IF(BZ66=4,15,IF(BZ66=3,12,IF(BZ66=2,10,IF(BZ66=1,8,IF(BZ66=-1,0,5))))))</f>
        <v>0</v>
      </c>
      <c r="CO66" s="48">
        <f>IF(CB66=5,320,IF(CB66=4,195,IF(CB66=3,132,IF(CB66=2,90,IF(CB66=1,58,IF(CB66=-1,0,35))))))</f>
        <v>0</v>
      </c>
      <c r="CP66" s="48">
        <f>IF(CB66=5,20,IF(CB66=4,15,IF(CB66=3,12,IF(CB66=2,10,IF(CB66=1,8,IF(CB66=-1,0,5))))))</f>
        <v>0</v>
      </c>
      <c r="CQ66" s="48">
        <f>IF(CD66=5,320,IF(CD66=4,195,IF(CD66=3,132,IF(CD66=2,90,IF(CD66=1,58,IF(CD66=-1,0,35))))))</f>
        <v>0</v>
      </c>
      <c r="CR66" s="48">
        <f>IF(CD66=5,20,IF(CD66=4,15,IF(CD66=3,12,IF(CD66=2,10,IF(CD66=1,8,IF(CD66=-1,0,5))))))</f>
        <v>0</v>
      </c>
      <c r="CS66" s="48">
        <f>IF(CF66=5,320,IF(CF66=4,195,IF(CF66=3,132,IF(CF66=2,90,IF(CF66=1,58,IF(CF66=-1,0,35))))))</f>
        <v>0</v>
      </c>
      <c r="CT66" s="48">
        <f>IF(CF66=5,20,IF(CF66=4,15,IF(CF66=3,12,IF(CF66=2,10,IF(CF66=1,8,IF(CF66=-1,0,5))))))</f>
        <v>0</v>
      </c>
      <c r="CU66" s="48">
        <f>IF(CH66=5,320,IF(CH66=4,195,IF(CH66=3,132,IF(CH66=2,90,IF(CH66=1,58,IF(CH66=-1,0,35))))))</f>
        <v>0</v>
      </c>
      <c r="CV66" s="48">
        <f>IF(CH66=5,20,IF(CH66=4,15,IF(CH66=3,12,IF(CH66=2,10,IF(CH66=1,8,IF(CH66=-1,0,5))))))</f>
        <v>0</v>
      </c>
      <c r="CW66" s="48">
        <f>IF(BY66&gt;10,(BY66/10)-ROUNDDOWN(BY66/10,0),0)+IF(CA66&gt;10,(CA66/10)-ROUNDDOWN(CA66/10,0),0)+IF(CC66&gt;10,(CC66/10)-ROUNDDOWN(CC66/10,0),0)+IF(CE66&gt;10,(CE66/10)-ROUNDDOWN(CE66/10,0),0)+IF(CG66&gt;10,(CG66/10)-ROUNDDOWN(CG66/10,0),0)+IF(CI66&gt;10,(CI66/10)-ROUNDDOWN(CI66/10,0),0)</f>
        <v>0</v>
      </c>
      <c r="CX66" s="48">
        <f>1+(CW66/10)</f>
        <v>1</v>
      </c>
    </row>
    <row r="67" ht="20.05" customHeight="1">
      <c r="A67" t="s" s="43">
        <v>346</v>
      </c>
      <c r="B67" s="49"/>
      <c r="C67" t="s" s="45">
        <v>279</v>
      </c>
      <c r="D67" s="13">
        <v>7</v>
      </c>
      <c r="E67" t="s" s="15">
        <v>232</v>
      </c>
      <c r="F67" t="s" s="15">
        <v>284</v>
      </c>
      <c r="G67" t="s" s="15">
        <v>282</v>
      </c>
      <c r="H67" s="12">
        <v>3</v>
      </c>
      <c r="I67" t="s" s="15">
        <v>273</v>
      </c>
      <c r="J67" s="12">
        <v>71</v>
      </c>
      <c r="K67" t="s" s="14">
        <v>236</v>
      </c>
      <c r="L67" t="s" s="15">
        <v>237</v>
      </c>
      <c r="M67" t="s" s="15">
        <v>19</v>
      </c>
      <c r="N67" s="46">
        <f>ROUND((SUM(AA67,T67:Y67,AC67:AE67,Z67*10)-AB67*15)*(IF(K67="Heavy",0.15,IF(K67="Medium",0,IF(K67="Light",-0.15,10)))+1),0)</f>
        <v>20</v>
      </c>
      <c r="O67" s="50"/>
      <c r="P67" s="46">
        <f>ROUNDDOWN((BI67+AU67+AG67)/5,0)+(BJ67+AV67+AH67)+(BN67+AZ67+AL67)+(BO67+BA67+AM67)+(BK67+AW67+AI67)+(BS67+BE67+AQ67)+(BL67+AX67+AJ67)+(BQ67+BC67+AO67)+(2*((BT67+BF67+AR67)+(BU67+BG67+AS67)))+(CK67+CM67+CO67+CQ67+CS67+CU67)+(CL67*BY67)+(CN67*CA67)+(CP67+CC67)+(CR67+CE67)+(CT67+CG67)+(CV67+CI67)+BV67</f>
        <v>49</v>
      </c>
      <c r="Q67" s="46">
        <f>ROUNDDOWN(((S67/5)+T67+X67+Y67+U67+AC67+V67+AA67+(2*(AD67+AE67))+CK67+CM67+CO67+CQ67+CS67+CU67+(CL67*BX67)+(CN67*BZ67)+(CP67*CB67)+(CR67*CD67)+(CT67*CF67)+(CV67*CH67))*CX67,0)</f>
        <v>53</v>
      </c>
      <c r="R67" s="46">
        <f>ROUNDDOWN(AVERAGE(P67:Q67),0)</f>
        <v>51</v>
      </c>
      <c r="S67" s="12">
        <f>AG67+AU67+BI67</f>
        <v>128</v>
      </c>
      <c r="T67" s="12">
        <f>AH67+AV67+BJ67</f>
        <v>11</v>
      </c>
      <c r="U67" s="12">
        <f>AI67+AW67+BK67</f>
        <v>3</v>
      </c>
      <c r="V67" s="12">
        <f>AJ67+AX67+BL67</f>
        <v>2</v>
      </c>
      <c r="W67" s="12">
        <f>AK67+AY67+BM67</f>
        <v>0</v>
      </c>
      <c r="X67" s="12">
        <f>AL67+AZ67+BN67</f>
        <v>1</v>
      </c>
      <c r="Y67" s="12">
        <f>AM67+BA67+BO67</f>
        <v>0</v>
      </c>
      <c r="Z67" s="12">
        <f>AN67+BB67+BP67</f>
        <v>0</v>
      </c>
      <c r="AA67" s="12">
        <f>AO67+BC67+BQ67</f>
        <v>0</v>
      </c>
      <c r="AB67" s="12">
        <f>AP67+BD67+BR67</f>
        <v>0</v>
      </c>
      <c r="AC67" s="12">
        <f>AQ67+BE67+BS67</f>
        <v>1</v>
      </c>
      <c r="AD67" s="12">
        <f>AR67+BF67+BT67</f>
        <v>5</v>
      </c>
      <c r="AE67" s="12">
        <f>AS67+BG67+BU67</f>
        <v>0</v>
      </c>
      <c r="AF67" s="28"/>
      <c r="AG67" s="28"/>
      <c r="AH67" s="28"/>
      <c r="AI67" s="28"/>
      <c r="AJ67" s="28"/>
      <c r="AK67" s="28"/>
      <c r="AL67" s="28"/>
      <c r="AM67" s="28"/>
      <c r="AN67" s="28"/>
      <c r="AO67" s="28"/>
      <c r="AP67" s="28"/>
      <c r="AQ67" s="28"/>
      <c r="AR67" s="28"/>
      <c r="AS67" s="28"/>
      <c r="AT67" s="28"/>
      <c r="AU67" s="12">
        <f>IF($H67=3,IF(OR($F67="DDV",$F67="DDG",$F67="DD"),'Fleet Tech - Tech'!B$3,IF($F67="CL",'Fleet Tech - Tech'!B$4,IF($F67="CA",'Fleet Tech - Tech'!B$5,IF($F67="BC",'Fleet Tech - Tech'!B$6,IF($F67="BB",'Fleet Tech - Tech'!B$7,IF($F67="CVL",'Fleet Tech - Tech'!B$8,IF($F67="CV",'Fleet Tech - Tech'!B$9,IF($F67="SS",'Fleet Tech - Tech'!B$10,IF($F67="BBV",'Fleet Tech - Tech'!B$11,IF($F67="CB",'Fleet Tech - Tech'!B$15,IF($F67="AE",'Fleet Tech - Tech'!B$16,IF($F67="IX",'Fleet Tech - Tech'!B$17,IF($F67="BM",'Fleet Tech - Tech'!B$13,IF($F67="AR",'Fleet Tech - Tech'!B$12,IF($F67="SSV",'Fleet Tech - Tech'!B$14,"nil"))))))))))))))),0)</f>
        <v>128</v>
      </c>
      <c r="AV67" s="12">
        <f>IF($H67=3,IF(OR($F67="DDV",$F67="DDG",$F67="DD"),'Fleet Tech - Tech'!C$3,IF($F67="CL",'Fleet Tech - Tech'!C$4,IF($F67="CA",'Fleet Tech - Tech'!C$5,IF($F67="BC",'Fleet Tech - Tech'!C$6,IF($F67="BB",'Fleet Tech - Tech'!C$7,IF($F67="CVL",'Fleet Tech - Tech'!C$8,IF($F67="CV",'Fleet Tech - Tech'!C$9,IF($F67="SS",'Fleet Tech - Tech'!C$10,IF($F67="BBV",'Fleet Tech - Tech'!C$11,IF($F67="CB",'Fleet Tech - Tech'!C$15,IF($F67="AE",'Fleet Tech - Tech'!C$16,IF($F67="IX",'Fleet Tech - Tech'!C$17,IF($F67="BM",'Fleet Tech - Tech'!C$13,IF($F67="AR",'Fleet Tech - Tech'!C$12,IF($F67="SSV",'Fleet Tech - Tech'!C$14,"nil"))))))))))))))),0)</f>
        <v>11</v>
      </c>
      <c r="AW67" s="12">
        <f>IF($H67=3,IF(OR($F67="DDV",$F67="DDG",$F67="DD"),'Fleet Tech - Tech'!D$3,IF($F67="CL",'Fleet Tech - Tech'!D$4,IF($F67="CA",'Fleet Tech - Tech'!D$5,IF($F67="BC",'Fleet Tech - Tech'!D$6,IF($F67="BB",'Fleet Tech - Tech'!D$7,IF($F67="CVL",'Fleet Tech - Tech'!D$8,IF($F67="CV",'Fleet Tech - Tech'!D$9,IF($F67="SS",'Fleet Tech - Tech'!D$10,IF($F67="BBV",'Fleet Tech - Tech'!D$11,IF($F67="CB",'Fleet Tech - Tech'!D$15,IF($F67="AE",'Fleet Tech - Tech'!D$16,IF($F67="IX",'Fleet Tech - Tech'!D$17,IF($F67="BM",'Fleet Tech - Tech'!D$13,IF($F67="AR",'Fleet Tech - Tech'!D$12,IF($F67="SSV",'Fleet Tech - Tech'!D$14,"nil"))))))))))))))),0)</f>
        <v>3</v>
      </c>
      <c r="AX67" s="12">
        <f>IF($H67=3,IF(OR($F67="DDV",$F67="DDG",$F67="DD"),'Fleet Tech - Tech'!E$3,IF($F67="CL",'Fleet Tech - Tech'!E$4,IF($F67="CA",'Fleet Tech - Tech'!E$5,IF($F67="BC",'Fleet Tech - Tech'!E$6,IF($F67="BB",'Fleet Tech - Tech'!E$7,IF($F67="CVL",'Fleet Tech - Tech'!E$8,IF($F67="CV",'Fleet Tech - Tech'!E$9,IF($F67="SS",'Fleet Tech - Tech'!E$10,IF($F67="BBV",'Fleet Tech - Tech'!E$11,IF($F67="CB",'Fleet Tech - Tech'!E$15,IF($F67="AE",'Fleet Tech - Tech'!E$16,IF($F67="IX",'Fleet Tech - Tech'!E$17,IF($F67="BM",'Fleet Tech - Tech'!E$13,IF($F67="AR",'Fleet Tech - Tech'!E$12,IF($F67="SSV",'Fleet Tech - Tech'!E$14,"nil"))))))))))))))),0)</f>
        <v>2</v>
      </c>
      <c r="AY67" s="12">
        <f>IF($H67=3,IF(OR($F67="DDV",$F67="DDG",$F67="DD"),'Fleet Tech - Tech'!F$3,IF($F67="CL",'Fleet Tech - Tech'!F$4,IF($F67="CA",'Fleet Tech - Tech'!F$5,IF($F67="BC",'Fleet Tech - Tech'!F$6,IF($F67="BB",'Fleet Tech - Tech'!F$7,IF($F67="CVL",'Fleet Tech - Tech'!F$8,IF($F67="CV",'Fleet Tech - Tech'!F$9,IF($F67="SS",'Fleet Tech - Tech'!F$10,IF($F67="BBV",'Fleet Tech - Tech'!F$11,IF($F67="CB",'Fleet Tech - Tech'!F$15,IF($F67="AE",'Fleet Tech - Tech'!F$16,IF($F67="IX",'Fleet Tech - Tech'!F$17,IF($F67="BM",'Fleet Tech - Tech'!F$13,IF($F67="AR",'Fleet Tech - Tech'!F$12,IF($F67="SSV",'Fleet Tech - Tech'!F$14,"nil"))))))))))))))),0)</f>
        <v>0</v>
      </c>
      <c r="AZ67" s="12">
        <f>IF($H67=3,IF(OR($F67="DDV",$F67="DDG",$F67="DD"),'Fleet Tech - Tech'!G$3,IF($F67="CL",'Fleet Tech - Tech'!G$4,IF($F67="CA",'Fleet Tech - Tech'!G$5,IF($F67="BC",'Fleet Tech - Tech'!G$6,IF($F67="BB",'Fleet Tech - Tech'!G$7,IF($F67="CVL",'Fleet Tech - Tech'!G$8,IF($F67="CV",'Fleet Tech - Tech'!G$9,IF($F67="SS",'Fleet Tech - Tech'!G$10,IF($F67="BBV",'Fleet Tech - Tech'!G$11,IF($F67="CB",'Fleet Tech - Tech'!G$15,IF($F67="AE",'Fleet Tech - Tech'!G$16,IF($F67="IX",'Fleet Tech - Tech'!G$17,IF($F67="BM",'Fleet Tech - Tech'!G$13,IF($F67="AR",'Fleet Tech - Tech'!G$12,IF($F67="SSV",'Fleet Tech - Tech'!G$14,"nil"))))))))))))))),0)</f>
        <v>1</v>
      </c>
      <c r="BA67" s="12">
        <f>IF($H67=3,IF(OR($F67="DDV",$F67="DDG",$F67="DD"),'Fleet Tech - Tech'!H$3,IF($F67="CL",'Fleet Tech - Tech'!H$4,IF($F67="CA",'Fleet Tech - Tech'!H$5,IF($F67="BC",'Fleet Tech - Tech'!H$6,IF($F67="BB",'Fleet Tech - Tech'!H$7,IF($F67="CVL",'Fleet Tech - Tech'!H$8,IF($F67="CV",'Fleet Tech - Tech'!H$9,IF($F67="SS",'Fleet Tech - Tech'!H$10,IF($F67="BBV",'Fleet Tech - Tech'!H$11,IF($F67="CB",'Fleet Tech - Tech'!H$15,IF($F67="AE",'Fleet Tech - Tech'!H$16,IF($F67="IX",'Fleet Tech - Tech'!H$17,IF($F67="BM",'Fleet Tech - Tech'!H$13,IF($F67="AR",'Fleet Tech - Tech'!H$12,IF($F67="SSV",'Fleet Tech - Tech'!H$14,"nil"))))))))))))))),0)</f>
        <v>0</v>
      </c>
      <c r="BB67" s="12">
        <f>IF($H67=3,IF(OR($F67="DDV",$F67="DDG",$F67="DD"),'Fleet Tech - Tech'!I$3,IF($F67="CL",'Fleet Tech - Tech'!I$4,IF($F67="CA",'Fleet Tech - Tech'!I$5,IF($F67="BC",'Fleet Tech - Tech'!I$6,IF($F67="BB",'Fleet Tech - Tech'!I$7,IF($F67="CVL",'Fleet Tech - Tech'!I$8,IF($F67="CV",'Fleet Tech - Tech'!I$9,IF($F67="SS",'Fleet Tech - Tech'!I$10,IF($F67="BBV",'Fleet Tech - Tech'!I$11,IF($F67="CB",'Fleet Tech - Tech'!I$15,IF($F67="AE",'Fleet Tech - Tech'!I$16,IF($F67="IX",'Fleet Tech - Tech'!I$17,IF($F67="BM",'Fleet Tech - Tech'!I$13,IF($F67="AR",'Fleet Tech - Tech'!I$12,IF($F67="SSV",'Fleet Tech - Tech'!I$14,"nil"))))))))))))))),0)</f>
        <v>0</v>
      </c>
      <c r="BC67" s="12">
        <f>IF($H67=3,IF(OR($F67="DDV",$F67="DDG",$F67="DD"),'Fleet Tech - Tech'!J$3,IF($F67="CL",'Fleet Tech - Tech'!J$4,IF($F67="CA",'Fleet Tech - Tech'!J$5,IF($F67="BC",'Fleet Tech - Tech'!J$6,IF($F67="BB",'Fleet Tech - Tech'!J$7,IF($F67="CVL",'Fleet Tech - Tech'!J$8,IF($F67="CV",'Fleet Tech - Tech'!J$9,IF($F67="SS",'Fleet Tech - Tech'!J$10,IF($F67="BBV",'Fleet Tech - Tech'!J$11,IF($F67="CB",'Fleet Tech - Tech'!J$15,IF($F67="AE",'Fleet Tech - Tech'!J$16,IF($F67="IX",'Fleet Tech - Tech'!J$17,IF($F67="BM",'Fleet Tech - Tech'!J$13,IF($F67="AR",'Fleet Tech - Tech'!J$12,IF($F67="SSV",'Fleet Tech - Tech'!J$14,"nil"))))))))))))))),0)</f>
        <v>0</v>
      </c>
      <c r="BD67" s="12">
        <f>IF($H67=3,IF(OR($F67="DDV",$F67="DDG",$F67="DD"),'Fleet Tech - Tech'!K$3,IF($F67="CL",'Fleet Tech - Tech'!K$4,IF($F67="CA",'Fleet Tech - Tech'!K$5,IF($F67="BC",'Fleet Tech - Tech'!K$6,IF($F67="BB",'Fleet Tech - Tech'!K$7,IF($F67="CVL",'Fleet Tech - Tech'!K$8,IF($F67="CV",'Fleet Tech - Tech'!K$9,IF($F67="SS",'Fleet Tech - Tech'!K$10,IF($F67="BBV",'Fleet Tech - Tech'!K$11,IF($F67="CB",'Fleet Tech - Tech'!K$15,IF($F67="AE",'Fleet Tech - Tech'!K$16,IF($F67="IX",'Fleet Tech - Tech'!K$17,IF($F67="BM",'Fleet Tech - Tech'!K$13,IF($F67="AR",'Fleet Tech - Tech'!K$12,IF($F67="SSV",'Fleet Tech - Tech'!K$14,"nil"))))))))))))))),0)</f>
        <v>0</v>
      </c>
      <c r="BE67" s="12">
        <f>IF($H67=3,IF(OR($F67="DDV",$F67="DDG",$F67="DD"),'Fleet Tech - Tech'!L$3,IF($F67="CL",'Fleet Tech - Tech'!L$4,IF($F67="CA",'Fleet Tech - Tech'!L$5,IF($F67="BC",'Fleet Tech - Tech'!L$6,IF($F67="BB",'Fleet Tech - Tech'!L$7,IF($F67="CVL",'Fleet Tech - Tech'!L$8,IF($F67="CV",'Fleet Tech - Tech'!L$9,IF($F67="SS",'Fleet Tech - Tech'!L$10,IF($F67="BBV",'Fleet Tech - Tech'!L$11,IF($F67="CB",'Fleet Tech - Tech'!L$15,IF($F67="AE",'Fleet Tech - Tech'!L$16,IF($F67="IX",'Fleet Tech - Tech'!L$17,IF($F67="BM",'Fleet Tech - Tech'!L$13,IF($F67="AR",'Fleet Tech - Tech'!L$12,IF($F67="SSV",'Fleet Tech - Tech'!L$14,"nil"))))))))))))))),0)</f>
        <v>1</v>
      </c>
      <c r="BF67" s="12">
        <f>IF($H67=3,IF(OR($F67="DDV",$F67="DDG",$F67="DD"),'Fleet Tech - Tech'!M$3,IF($F67="CL",'Fleet Tech - Tech'!M$4,IF($F67="CA",'Fleet Tech - Tech'!M$5,IF($F67="BC",'Fleet Tech - Tech'!M$6,IF($F67="BB",'Fleet Tech - Tech'!M$7,IF($F67="CVL",'Fleet Tech - Tech'!M$8,IF($F67="CV",'Fleet Tech - Tech'!M$9,IF($F67="SS",'Fleet Tech - Tech'!M$10,IF($F67="BBV",'Fleet Tech - Tech'!M$11,IF($F67="CB",'Fleet Tech - Tech'!M$15,IF($F67="AE",'Fleet Tech - Tech'!M$16,IF($F67="IX",'Fleet Tech - Tech'!M$17,IF($F67="BM",'Fleet Tech - Tech'!M$13,IF($F67="AR",'Fleet Tech - Tech'!M$12,IF($F67="SSV",'Fleet Tech - Tech'!M$14,"nil"))))))))))))))),0)</f>
        <v>5</v>
      </c>
      <c r="BG67" s="12">
        <f>IF($H67=3,IF(OR($F67="DDV",$F67="DDG",$F67="DD"),'Fleet Tech - Tech'!N$3,IF($F67="CL",'Fleet Tech - Tech'!N$4,IF($F67="CA",'Fleet Tech - Tech'!N$5,IF($F67="BC",'Fleet Tech - Tech'!N$6,IF($F67="BB",'Fleet Tech - Tech'!N$7,IF($F67="CVL",'Fleet Tech - Tech'!N$8,IF($F67="CV",'Fleet Tech - Tech'!N$9,IF($F67="SS",'Fleet Tech - Tech'!N$10,IF($F67="BBV",'Fleet Tech - Tech'!N$11,IF($F67="CB",'Fleet Tech - Tech'!N$15,IF($F67="AE",'Fleet Tech - Tech'!N$16,IF($F67="IX",'Fleet Tech - Tech'!N$17,IF($F67="BM",'Fleet Tech - Tech'!N$13,IF($F67="AR",'Fleet Tech - Tech'!N$12,IF($F67="SSV",'Fleet Tech - Tech'!N$14,"nil"))))))))))))))),0)</f>
        <v>0</v>
      </c>
      <c r="BH67" s="28"/>
      <c r="BI67" s="28"/>
      <c r="BJ67" s="28"/>
      <c r="BK67" s="28"/>
      <c r="BL67" s="28"/>
      <c r="BM67" s="28"/>
      <c r="BN67" s="28"/>
      <c r="BO67" s="28"/>
      <c r="BP67" s="28"/>
      <c r="BQ67" s="28"/>
      <c r="BR67" s="28"/>
      <c r="BS67" s="28"/>
      <c r="BT67" s="28"/>
      <c r="BU67" s="28"/>
      <c r="BV67" s="28"/>
      <c r="BW67" s="28"/>
      <c r="BX67" s="12">
        <v>-1</v>
      </c>
      <c r="BY67" s="12">
        <v>-1</v>
      </c>
      <c r="BZ67" s="12">
        <v>-1</v>
      </c>
      <c r="CA67" s="12">
        <v>-1</v>
      </c>
      <c r="CB67" s="12">
        <v>-1</v>
      </c>
      <c r="CC67" s="12">
        <v>-1</v>
      </c>
      <c r="CD67" s="12">
        <v>-1</v>
      </c>
      <c r="CE67" s="12">
        <v>-1</v>
      </c>
      <c r="CF67" s="12">
        <v>-1</v>
      </c>
      <c r="CG67" s="12">
        <v>-1</v>
      </c>
      <c r="CH67" s="12">
        <v>-1</v>
      </c>
      <c r="CI67" s="12">
        <v>-1</v>
      </c>
      <c r="CJ67" s="47"/>
      <c r="CK67" s="48">
        <f>IF(BX67=5,320,IF(BX67=4,195,IF(BX67=3,132,IF(BX67=2,90,IF(BX67=1,58,IF(BX67=-1,0,35))))))</f>
        <v>0</v>
      </c>
      <c r="CL67" s="48">
        <f>IF(BX67=5,20,IF(BX67=4,15,IF(BX67=3,12,IF(BX67=2,10,IF(BX67=1,8,IF(BX67=-1,0,5))))))</f>
        <v>0</v>
      </c>
      <c r="CM67" s="48">
        <f>IF(BZ67=5,320,IF(BZ67=4,195,IF(BZ67=3,132,IF(BZ67=2,90,IF(BZ67=1,58,IF(BZ67=-1,0,35))))))</f>
        <v>0</v>
      </c>
      <c r="CN67" s="48">
        <f>IF(BZ67=5,20,IF(BZ67=4,15,IF(BZ67=3,12,IF(BZ67=2,10,IF(BZ67=1,8,IF(BZ67=-1,0,5))))))</f>
        <v>0</v>
      </c>
      <c r="CO67" s="48">
        <f>IF(CB67=5,320,IF(CB67=4,195,IF(CB67=3,132,IF(CB67=2,90,IF(CB67=1,58,IF(CB67=-1,0,35))))))</f>
        <v>0</v>
      </c>
      <c r="CP67" s="48">
        <f>IF(CB67=5,20,IF(CB67=4,15,IF(CB67=3,12,IF(CB67=2,10,IF(CB67=1,8,IF(CB67=-1,0,5))))))</f>
        <v>0</v>
      </c>
      <c r="CQ67" s="48">
        <f>IF(CD67=5,320,IF(CD67=4,195,IF(CD67=3,132,IF(CD67=2,90,IF(CD67=1,58,IF(CD67=-1,0,35))))))</f>
        <v>0</v>
      </c>
      <c r="CR67" s="48">
        <f>IF(CD67=5,20,IF(CD67=4,15,IF(CD67=3,12,IF(CD67=2,10,IF(CD67=1,8,IF(CD67=-1,0,5))))))</f>
        <v>0</v>
      </c>
      <c r="CS67" s="48">
        <f>IF(CF67=5,320,IF(CF67=4,195,IF(CF67=3,132,IF(CF67=2,90,IF(CF67=1,58,IF(CF67=-1,0,35))))))</f>
        <v>0</v>
      </c>
      <c r="CT67" s="48">
        <f>IF(CF67=5,20,IF(CF67=4,15,IF(CF67=3,12,IF(CF67=2,10,IF(CF67=1,8,IF(CF67=-1,0,5))))))</f>
        <v>0</v>
      </c>
      <c r="CU67" s="48">
        <f>IF(CH67=5,320,IF(CH67=4,195,IF(CH67=3,132,IF(CH67=2,90,IF(CH67=1,58,IF(CH67=-1,0,35))))))</f>
        <v>0</v>
      </c>
      <c r="CV67" s="48">
        <f>IF(CH67=5,20,IF(CH67=4,15,IF(CH67=3,12,IF(CH67=2,10,IF(CH67=1,8,IF(CH67=-1,0,5))))))</f>
        <v>0</v>
      </c>
      <c r="CW67" s="48">
        <f>IF(BY67&gt;10,(BY67/10)-ROUNDDOWN(BY67/10,0),0)+IF(CA67&gt;10,(CA67/10)-ROUNDDOWN(CA67/10,0),0)+IF(CC67&gt;10,(CC67/10)-ROUNDDOWN(CC67/10,0),0)+IF(CE67&gt;10,(CE67/10)-ROUNDDOWN(CE67/10,0),0)+IF(CG67&gt;10,(CG67/10)-ROUNDDOWN(CG67/10,0),0)+IF(CI67&gt;10,(CI67/10)-ROUNDDOWN(CI67/10,0),0)</f>
        <v>0</v>
      </c>
      <c r="CX67" s="48">
        <f>1+(CW67/10)</f>
        <v>1</v>
      </c>
    </row>
    <row r="68" ht="20.05" customHeight="1">
      <c r="A68" t="s" s="43">
        <v>347</v>
      </c>
      <c r="B68" s="49"/>
      <c r="C68" t="s" s="45">
        <v>279</v>
      </c>
      <c r="D68" s="13">
        <v>7</v>
      </c>
      <c r="E68" t="s" s="15">
        <v>232</v>
      </c>
      <c r="F68" t="s" s="15">
        <v>233</v>
      </c>
      <c r="G68" t="s" s="15">
        <v>282</v>
      </c>
      <c r="H68" s="12">
        <v>3</v>
      </c>
      <c r="I68" t="s" s="15">
        <v>279</v>
      </c>
      <c r="J68" s="12">
        <v>71</v>
      </c>
      <c r="K68" t="s" s="14">
        <v>236</v>
      </c>
      <c r="L68" t="s" s="15">
        <v>237</v>
      </c>
      <c r="M68" t="s" s="15">
        <v>25</v>
      </c>
      <c r="N68" s="46">
        <f>ROUND((SUM(AA68,T68:Y68,AC68:AE68,Z68*10)-AB68*15)*(IF(K68="Heavy",0.15,IF(K68="Medium",0,IF(K68="Light",-0.15,10)))+1),0)</f>
        <v>27</v>
      </c>
      <c r="O68" s="50"/>
      <c r="P68" s="46">
        <f>ROUNDDOWN((BI68+AU68+AG68)/5,0)+(BJ68+AV68+AH68)+(BN68+AZ68+AL68)+(BO68+BA68+AM68)+(BK68+AW68+AI68)+(BS68+BE68+AQ68)+(BL68+AX68+AJ68)+(BQ68+BC68+AO68)+(2*((BT68+BF68+AR68)+(BU68+BG68+AS68)))+(CK68+CM68+CO68+CQ68+CS68+CU68)+(CL68*BY68)+(CN68*CA68)+(CP68+CC68)+(CR68+CE68)+(CT68+CG68)+(CV68+CI68)+BV68</f>
        <v>42</v>
      </c>
      <c r="Q68" s="46">
        <f>ROUNDDOWN(((S68/5)+T68+X68+Y68+U68+AC68+V68+AA68+(2*(AD68+AE68))+CK68+CM68+CO68+CQ68+CS68+CU68+(CL68*BX68)+(CN68*BZ68)+(CP68*CB68)+(CR68*CD68)+(CT68*CF68)+(CV68*CH68))*CX68,0)</f>
        <v>46</v>
      </c>
      <c r="R68" s="46">
        <f>ROUNDDOWN(AVERAGE(P68:Q68),0)</f>
        <v>44</v>
      </c>
      <c r="S68" s="12">
        <f>AG68+AU68+BI68</f>
        <v>43</v>
      </c>
      <c r="T68" s="12">
        <f>AH68+AV68+BJ68</f>
        <v>2</v>
      </c>
      <c r="U68" s="12">
        <f>AI68+AW68+BK68</f>
        <v>11</v>
      </c>
      <c r="V68" s="12">
        <f>AJ68+AX68+BL68</f>
        <v>3</v>
      </c>
      <c r="W68" s="12">
        <f>AK68+AY68+BM68</f>
        <v>0</v>
      </c>
      <c r="X68" s="12">
        <f>AL68+AZ68+BN68</f>
        <v>5</v>
      </c>
      <c r="Y68" s="12">
        <f>AM68+BA68+BO68</f>
        <v>0</v>
      </c>
      <c r="Z68" s="12">
        <f>AN68+BB68+BP68</f>
        <v>0</v>
      </c>
      <c r="AA68" s="12">
        <f>AO68+BC68+BQ68</f>
        <v>0</v>
      </c>
      <c r="AB68" s="12">
        <f>AP68+BD68+BR68</f>
        <v>0</v>
      </c>
      <c r="AC68" s="12">
        <f>AQ68+BE68+BS68</f>
        <v>5</v>
      </c>
      <c r="AD68" s="12">
        <f>AR68+BF68+BT68</f>
        <v>0</v>
      </c>
      <c r="AE68" s="12">
        <f>AS68+BG68+BU68</f>
        <v>6</v>
      </c>
      <c r="AF68" s="28"/>
      <c r="AG68" s="28"/>
      <c r="AH68" s="28"/>
      <c r="AI68" s="28"/>
      <c r="AJ68" s="28"/>
      <c r="AK68" s="28"/>
      <c r="AL68" s="28"/>
      <c r="AM68" s="28"/>
      <c r="AN68" s="28"/>
      <c r="AO68" s="28"/>
      <c r="AP68" s="28"/>
      <c r="AQ68" s="28"/>
      <c r="AR68" s="28"/>
      <c r="AS68" s="28"/>
      <c r="AT68" s="28"/>
      <c r="AU68" s="12">
        <f>IF($H68=3,IF(OR($F68="DDV",$F68="DDG",$F68="DD"),'Fleet Tech - Tech'!B$3,IF($F68="CL",'Fleet Tech - Tech'!B$4,IF($F68="CA",'Fleet Tech - Tech'!B$5,IF($F68="BC",'Fleet Tech - Tech'!B$6,IF($F68="BB",'Fleet Tech - Tech'!B$7,IF($F68="CVL",'Fleet Tech - Tech'!B$8,IF($F68="CV",'Fleet Tech - Tech'!B$9,IF($F68="SS",'Fleet Tech - Tech'!B$10,IF($F68="BBV",'Fleet Tech - Tech'!B$11,IF($F68="CB",'Fleet Tech - Tech'!B$15,IF($F68="AE",'Fleet Tech - Tech'!B$16,IF($F68="IX",'Fleet Tech - Tech'!B$17,IF($F68="BM",'Fleet Tech - Tech'!B$13,IF($F68="AR",'Fleet Tech - Tech'!B$12,IF($F68="SSV",'Fleet Tech - Tech'!B$14,"nil"))))))))))))))),0)</f>
        <v>43</v>
      </c>
      <c r="AV68" s="12">
        <f>IF($H68=3,IF(OR($F68="DDV",$F68="DDG",$F68="DD"),'Fleet Tech - Tech'!C$3,IF($F68="CL",'Fleet Tech - Tech'!C$4,IF($F68="CA",'Fleet Tech - Tech'!C$5,IF($F68="BC",'Fleet Tech - Tech'!C$6,IF($F68="BB",'Fleet Tech - Tech'!C$7,IF($F68="CVL",'Fleet Tech - Tech'!C$8,IF($F68="CV",'Fleet Tech - Tech'!C$9,IF($F68="SS",'Fleet Tech - Tech'!C$10,IF($F68="BBV",'Fleet Tech - Tech'!C$11,IF($F68="CB",'Fleet Tech - Tech'!C$15,IF($F68="AE",'Fleet Tech - Tech'!C$16,IF($F68="IX",'Fleet Tech - Tech'!C$17,IF($F68="BM",'Fleet Tech - Tech'!C$13,IF($F68="AR",'Fleet Tech - Tech'!C$12,IF($F68="SSV",'Fleet Tech - Tech'!C$14,"nil"))))))))))))))),0)</f>
        <v>2</v>
      </c>
      <c r="AW68" s="12">
        <f>IF($H68=3,IF(OR($F68="DDV",$F68="DDG",$F68="DD"),'Fleet Tech - Tech'!D$3,IF($F68="CL",'Fleet Tech - Tech'!D$4,IF($F68="CA",'Fleet Tech - Tech'!D$5,IF($F68="BC",'Fleet Tech - Tech'!D$6,IF($F68="BB",'Fleet Tech - Tech'!D$7,IF($F68="CVL",'Fleet Tech - Tech'!D$8,IF($F68="CV",'Fleet Tech - Tech'!D$9,IF($F68="SS",'Fleet Tech - Tech'!D$10,IF($F68="BBV",'Fleet Tech - Tech'!D$11,IF($F68="CB",'Fleet Tech - Tech'!D$15,IF($F68="AE",'Fleet Tech - Tech'!D$16,IF($F68="IX",'Fleet Tech - Tech'!D$17,IF($F68="BM",'Fleet Tech - Tech'!D$13,IF($F68="AR",'Fleet Tech - Tech'!D$12,IF($F68="SSV",'Fleet Tech - Tech'!D$14,"nil"))))))))))))))),0)</f>
        <v>11</v>
      </c>
      <c r="AX68" s="12">
        <f>IF($H68=3,IF(OR($F68="DDV",$F68="DDG",$F68="DD"),'Fleet Tech - Tech'!E$3,IF($F68="CL",'Fleet Tech - Tech'!E$4,IF($F68="CA",'Fleet Tech - Tech'!E$5,IF($F68="BC",'Fleet Tech - Tech'!E$6,IF($F68="BB",'Fleet Tech - Tech'!E$7,IF($F68="CVL",'Fleet Tech - Tech'!E$8,IF($F68="CV",'Fleet Tech - Tech'!E$9,IF($F68="SS",'Fleet Tech - Tech'!E$10,IF($F68="BBV",'Fleet Tech - Tech'!E$11,IF($F68="CB",'Fleet Tech - Tech'!E$15,IF($F68="AE",'Fleet Tech - Tech'!E$16,IF($F68="IX",'Fleet Tech - Tech'!E$17,IF($F68="BM",'Fleet Tech - Tech'!E$13,IF($F68="AR",'Fleet Tech - Tech'!E$12,IF($F68="SSV",'Fleet Tech - Tech'!E$14,"nil"))))))))))))))),0)</f>
        <v>3</v>
      </c>
      <c r="AY68" s="12">
        <f>IF($H68=3,IF(OR($F68="DDV",$F68="DDG",$F68="DD"),'Fleet Tech - Tech'!F$3,IF($F68="CL",'Fleet Tech - Tech'!F$4,IF($F68="CA",'Fleet Tech - Tech'!F$5,IF($F68="BC",'Fleet Tech - Tech'!F$6,IF($F68="BB",'Fleet Tech - Tech'!F$7,IF($F68="CVL",'Fleet Tech - Tech'!F$8,IF($F68="CV",'Fleet Tech - Tech'!F$9,IF($F68="SS",'Fleet Tech - Tech'!F$10,IF($F68="BBV",'Fleet Tech - Tech'!F$11,IF($F68="CB",'Fleet Tech - Tech'!F$15,IF($F68="AE",'Fleet Tech - Tech'!F$16,IF($F68="IX",'Fleet Tech - Tech'!F$17,IF($F68="BM",'Fleet Tech - Tech'!F$13,IF($F68="AR",'Fleet Tech - Tech'!F$12,IF($F68="SSV",'Fleet Tech - Tech'!F$14,"nil"))))))))))))))),0)</f>
        <v>0</v>
      </c>
      <c r="AZ68" s="12">
        <f>IF($H68=3,IF(OR($F68="DDV",$F68="DDG",$F68="DD"),'Fleet Tech - Tech'!G$3,IF($F68="CL",'Fleet Tech - Tech'!G$4,IF($F68="CA",'Fleet Tech - Tech'!G$5,IF($F68="BC",'Fleet Tech - Tech'!G$6,IF($F68="BB",'Fleet Tech - Tech'!G$7,IF($F68="CVL",'Fleet Tech - Tech'!G$8,IF($F68="CV",'Fleet Tech - Tech'!G$9,IF($F68="SS",'Fleet Tech - Tech'!G$10,IF($F68="BBV",'Fleet Tech - Tech'!G$11,IF($F68="CB",'Fleet Tech - Tech'!G$15,IF($F68="AE",'Fleet Tech - Tech'!G$16,IF($F68="IX",'Fleet Tech - Tech'!G$17,IF($F68="BM",'Fleet Tech - Tech'!G$13,IF($F68="AR",'Fleet Tech - Tech'!G$12,IF($F68="SSV",'Fleet Tech - Tech'!G$14,"nil"))))))))))))))),0)</f>
        <v>5</v>
      </c>
      <c r="BA68" s="12">
        <f>IF($H68=3,IF(OR($F68="DDV",$F68="DDG",$F68="DD"),'Fleet Tech - Tech'!H$3,IF($F68="CL",'Fleet Tech - Tech'!H$4,IF($F68="CA",'Fleet Tech - Tech'!H$5,IF($F68="BC",'Fleet Tech - Tech'!H$6,IF($F68="BB",'Fleet Tech - Tech'!H$7,IF($F68="CVL",'Fleet Tech - Tech'!H$8,IF($F68="CV",'Fleet Tech - Tech'!H$9,IF($F68="SS",'Fleet Tech - Tech'!H$10,IF($F68="BBV",'Fleet Tech - Tech'!H$11,IF($F68="CB",'Fleet Tech - Tech'!H$15,IF($F68="AE",'Fleet Tech - Tech'!H$16,IF($F68="IX",'Fleet Tech - Tech'!H$17,IF($F68="BM",'Fleet Tech - Tech'!H$13,IF($F68="AR",'Fleet Tech - Tech'!H$12,IF($F68="SSV",'Fleet Tech - Tech'!H$14,"nil"))))))))))))))),0)</f>
        <v>0</v>
      </c>
      <c r="BB68" s="12">
        <f>IF($H68=3,IF(OR($F68="DDV",$F68="DDG",$F68="DD"),'Fleet Tech - Tech'!I$3,IF($F68="CL",'Fleet Tech - Tech'!I$4,IF($F68="CA",'Fleet Tech - Tech'!I$5,IF($F68="BC",'Fleet Tech - Tech'!I$6,IF($F68="BB",'Fleet Tech - Tech'!I$7,IF($F68="CVL",'Fleet Tech - Tech'!I$8,IF($F68="CV",'Fleet Tech - Tech'!I$9,IF($F68="SS",'Fleet Tech - Tech'!I$10,IF($F68="BBV",'Fleet Tech - Tech'!I$11,IF($F68="CB",'Fleet Tech - Tech'!I$15,IF($F68="AE",'Fleet Tech - Tech'!I$16,IF($F68="IX",'Fleet Tech - Tech'!I$17,IF($F68="BM",'Fleet Tech - Tech'!I$13,IF($F68="AR",'Fleet Tech - Tech'!I$12,IF($F68="SSV",'Fleet Tech - Tech'!I$14,"nil"))))))))))))))),0)</f>
        <v>0</v>
      </c>
      <c r="BC68" s="12">
        <f>IF($H68=3,IF(OR($F68="DDV",$F68="DDG",$F68="DD"),'Fleet Tech - Tech'!J$3,IF($F68="CL",'Fleet Tech - Tech'!J$4,IF($F68="CA",'Fleet Tech - Tech'!J$5,IF($F68="BC",'Fleet Tech - Tech'!J$6,IF($F68="BB",'Fleet Tech - Tech'!J$7,IF($F68="CVL",'Fleet Tech - Tech'!J$8,IF($F68="CV",'Fleet Tech - Tech'!J$9,IF($F68="SS",'Fleet Tech - Tech'!J$10,IF($F68="BBV",'Fleet Tech - Tech'!J$11,IF($F68="CB",'Fleet Tech - Tech'!J$15,IF($F68="AE",'Fleet Tech - Tech'!J$16,IF($F68="IX",'Fleet Tech - Tech'!J$17,IF($F68="BM",'Fleet Tech - Tech'!J$13,IF($F68="AR",'Fleet Tech - Tech'!J$12,IF($F68="SSV",'Fleet Tech - Tech'!J$14,"nil"))))))))))))))),0)</f>
        <v>0</v>
      </c>
      <c r="BD68" s="12">
        <f>IF($H68=3,IF(OR($F68="DDV",$F68="DDG",$F68="DD"),'Fleet Tech - Tech'!K$3,IF($F68="CL",'Fleet Tech - Tech'!K$4,IF($F68="CA",'Fleet Tech - Tech'!K$5,IF($F68="BC",'Fleet Tech - Tech'!K$6,IF($F68="BB",'Fleet Tech - Tech'!K$7,IF($F68="CVL",'Fleet Tech - Tech'!K$8,IF($F68="CV",'Fleet Tech - Tech'!K$9,IF($F68="SS",'Fleet Tech - Tech'!K$10,IF($F68="BBV",'Fleet Tech - Tech'!K$11,IF($F68="CB",'Fleet Tech - Tech'!K$15,IF($F68="AE",'Fleet Tech - Tech'!K$16,IF($F68="IX",'Fleet Tech - Tech'!K$17,IF($F68="BM",'Fleet Tech - Tech'!K$13,IF($F68="AR",'Fleet Tech - Tech'!K$12,IF($F68="SSV",'Fleet Tech - Tech'!K$14,"nil"))))))))))))))),0)</f>
        <v>0</v>
      </c>
      <c r="BE68" s="12">
        <f>IF($H68=3,IF(OR($F68="DDV",$F68="DDG",$F68="DD"),'Fleet Tech - Tech'!L$3,IF($F68="CL",'Fleet Tech - Tech'!L$4,IF($F68="CA",'Fleet Tech - Tech'!L$5,IF($F68="BC",'Fleet Tech - Tech'!L$6,IF($F68="BB",'Fleet Tech - Tech'!L$7,IF($F68="CVL",'Fleet Tech - Tech'!L$8,IF($F68="CV",'Fleet Tech - Tech'!L$9,IF($F68="SS",'Fleet Tech - Tech'!L$10,IF($F68="BBV",'Fleet Tech - Tech'!L$11,IF($F68="CB",'Fleet Tech - Tech'!L$15,IF($F68="AE",'Fleet Tech - Tech'!L$16,IF($F68="IX",'Fleet Tech - Tech'!L$17,IF($F68="BM",'Fleet Tech - Tech'!L$13,IF($F68="AR",'Fleet Tech - Tech'!L$12,IF($F68="SSV",'Fleet Tech - Tech'!L$14,"nil"))))))))))))))),0)</f>
        <v>5</v>
      </c>
      <c r="BF68" s="12">
        <f>IF($H68=3,IF(OR($F68="DDV",$F68="DDG",$F68="DD"),'Fleet Tech - Tech'!M$3,IF($F68="CL",'Fleet Tech - Tech'!M$4,IF($F68="CA",'Fleet Tech - Tech'!M$5,IF($F68="BC",'Fleet Tech - Tech'!M$6,IF($F68="BB",'Fleet Tech - Tech'!M$7,IF($F68="CVL",'Fleet Tech - Tech'!M$8,IF($F68="CV",'Fleet Tech - Tech'!M$9,IF($F68="SS",'Fleet Tech - Tech'!M$10,IF($F68="BBV",'Fleet Tech - Tech'!M$11,IF($F68="CB",'Fleet Tech - Tech'!M$15,IF($F68="AE",'Fleet Tech - Tech'!M$16,IF($F68="IX",'Fleet Tech - Tech'!M$17,IF($F68="BM",'Fleet Tech - Tech'!M$13,IF($F68="AR",'Fleet Tech - Tech'!M$12,IF($F68="SSV",'Fleet Tech - Tech'!M$14,"nil"))))))))))))))),0)</f>
        <v>0</v>
      </c>
      <c r="BG68" s="12">
        <f>IF($H68=3,IF(OR($F68="DDV",$F68="DDG",$F68="DD"),'Fleet Tech - Tech'!N$3,IF($F68="CL",'Fleet Tech - Tech'!N$4,IF($F68="CA",'Fleet Tech - Tech'!N$5,IF($F68="BC",'Fleet Tech - Tech'!N$6,IF($F68="BB",'Fleet Tech - Tech'!N$7,IF($F68="CVL",'Fleet Tech - Tech'!N$8,IF($F68="CV",'Fleet Tech - Tech'!N$9,IF($F68="SS",'Fleet Tech - Tech'!N$10,IF($F68="BBV",'Fleet Tech - Tech'!N$11,IF($F68="CB",'Fleet Tech - Tech'!N$15,IF($F68="AE",'Fleet Tech - Tech'!N$16,IF($F68="IX",'Fleet Tech - Tech'!N$17,IF($F68="BM",'Fleet Tech - Tech'!N$13,IF($F68="AR",'Fleet Tech - Tech'!N$12,IF($F68="SSV",'Fleet Tech - Tech'!N$14,"nil"))))))))))))))),0)</f>
        <v>6</v>
      </c>
      <c r="BH68" s="28"/>
      <c r="BI68" s="28"/>
      <c r="BJ68" s="28"/>
      <c r="BK68" s="28"/>
      <c r="BL68" s="28"/>
      <c r="BM68" s="28"/>
      <c r="BN68" s="28"/>
      <c r="BO68" s="28"/>
      <c r="BP68" s="28"/>
      <c r="BQ68" s="28"/>
      <c r="BR68" s="28"/>
      <c r="BS68" s="28"/>
      <c r="BT68" s="28"/>
      <c r="BU68" s="28"/>
      <c r="BV68" s="28"/>
      <c r="BW68" s="28"/>
      <c r="BX68" s="12">
        <v>-1</v>
      </c>
      <c r="BY68" s="12">
        <v>-1</v>
      </c>
      <c r="BZ68" s="12">
        <v>-1</v>
      </c>
      <c r="CA68" s="12">
        <v>-1</v>
      </c>
      <c r="CB68" s="12">
        <v>-1</v>
      </c>
      <c r="CC68" s="12">
        <v>-1</v>
      </c>
      <c r="CD68" s="12">
        <v>-1</v>
      </c>
      <c r="CE68" s="12">
        <v>-1</v>
      </c>
      <c r="CF68" s="12">
        <v>-1</v>
      </c>
      <c r="CG68" s="12">
        <v>-1</v>
      </c>
      <c r="CH68" s="12">
        <v>-1</v>
      </c>
      <c r="CI68" s="12">
        <v>-1</v>
      </c>
      <c r="CJ68" s="47"/>
      <c r="CK68" s="48">
        <f>IF(BX68=5,320,IF(BX68=4,195,IF(BX68=3,132,IF(BX68=2,90,IF(BX68=1,58,IF(BX68=-1,0,35))))))</f>
        <v>0</v>
      </c>
      <c r="CL68" s="48">
        <f>IF(BX68=5,20,IF(BX68=4,15,IF(BX68=3,12,IF(BX68=2,10,IF(BX68=1,8,IF(BX68=-1,0,5))))))</f>
        <v>0</v>
      </c>
      <c r="CM68" s="48">
        <f>IF(BZ68=5,320,IF(BZ68=4,195,IF(BZ68=3,132,IF(BZ68=2,90,IF(BZ68=1,58,IF(BZ68=-1,0,35))))))</f>
        <v>0</v>
      </c>
      <c r="CN68" s="48">
        <f>IF(BZ68=5,20,IF(BZ68=4,15,IF(BZ68=3,12,IF(BZ68=2,10,IF(BZ68=1,8,IF(BZ68=-1,0,5))))))</f>
        <v>0</v>
      </c>
      <c r="CO68" s="48">
        <f>IF(CB68=5,320,IF(CB68=4,195,IF(CB68=3,132,IF(CB68=2,90,IF(CB68=1,58,IF(CB68=-1,0,35))))))</f>
        <v>0</v>
      </c>
      <c r="CP68" s="48">
        <f>IF(CB68=5,20,IF(CB68=4,15,IF(CB68=3,12,IF(CB68=2,10,IF(CB68=1,8,IF(CB68=-1,0,5))))))</f>
        <v>0</v>
      </c>
      <c r="CQ68" s="48">
        <f>IF(CD68=5,320,IF(CD68=4,195,IF(CD68=3,132,IF(CD68=2,90,IF(CD68=1,58,IF(CD68=-1,0,35))))))</f>
        <v>0</v>
      </c>
      <c r="CR68" s="48">
        <f>IF(CD68=5,20,IF(CD68=4,15,IF(CD68=3,12,IF(CD68=2,10,IF(CD68=1,8,IF(CD68=-1,0,5))))))</f>
        <v>0</v>
      </c>
      <c r="CS68" s="48">
        <f>IF(CF68=5,320,IF(CF68=4,195,IF(CF68=3,132,IF(CF68=2,90,IF(CF68=1,58,IF(CF68=-1,0,35))))))</f>
        <v>0</v>
      </c>
      <c r="CT68" s="48">
        <f>IF(CF68=5,20,IF(CF68=4,15,IF(CF68=3,12,IF(CF68=2,10,IF(CF68=1,8,IF(CF68=-1,0,5))))))</f>
        <v>0</v>
      </c>
      <c r="CU68" s="48">
        <f>IF(CH68=5,320,IF(CH68=4,195,IF(CH68=3,132,IF(CH68=2,90,IF(CH68=1,58,IF(CH68=-1,0,35))))))</f>
        <v>0</v>
      </c>
      <c r="CV68" s="48">
        <f>IF(CH68=5,20,IF(CH68=4,15,IF(CH68=3,12,IF(CH68=2,10,IF(CH68=1,8,IF(CH68=-1,0,5))))))</f>
        <v>0</v>
      </c>
      <c r="CW68" s="48">
        <f>IF(BY68&gt;10,(BY68/10)-ROUNDDOWN(BY68/10,0),0)+IF(CA68&gt;10,(CA68/10)-ROUNDDOWN(CA68/10,0),0)+IF(CC68&gt;10,(CC68/10)-ROUNDDOWN(CC68/10,0),0)+IF(CE68&gt;10,(CE68/10)-ROUNDDOWN(CE68/10,0),0)+IF(CG68&gt;10,(CG68/10)-ROUNDDOWN(CG68/10,0),0)+IF(CI68&gt;10,(CI68/10)-ROUNDDOWN(CI68/10,0),0)</f>
        <v>0</v>
      </c>
      <c r="CX68" s="48">
        <f>1+(CW68/10)</f>
        <v>1</v>
      </c>
    </row>
    <row r="69" ht="20.05" customHeight="1">
      <c r="A69" t="s" s="43">
        <v>348</v>
      </c>
      <c r="B69" s="49"/>
      <c r="C69" t="s" s="45">
        <v>279</v>
      </c>
      <c r="D69" s="13">
        <v>7</v>
      </c>
      <c r="E69" t="s" s="15">
        <v>232</v>
      </c>
      <c r="F69" t="s" s="15">
        <v>275</v>
      </c>
      <c r="G69" t="s" s="15">
        <v>282</v>
      </c>
      <c r="H69" s="12">
        <v>3</v>
      </c>
      <c r="I69" t="s" s="15">
        <v>300</v>
      </c>
      <c r="J69" s="12">
        <v>71</v>
      </c>
      <c r="K69" t="s" s="14">
        <v>242</v>
      </c>
      <c r="L69" t="s" s="15">
        <v>265</v>
      </c>
      <c r="M69" t="s" s="15">
        <v>27</v>
      </c>
      <c r="N69" s="46">
        <f>ROUND((SUM(AA69,T69:Y69,AC69:AE69,Z69*10)-AB69*15)*(IF(K69="Heavy",0.15,IF(K69="Medium",0,IF(K69="Light",-0.15,10)))+1),0)</f>
        <v>10</v>
      </c>
      <c r="O69" s="50"/>
      <c r="P69" s="46">
        <f>ROUNDDOWN((BI69+AU69+AG69)/5,0)+(BJ69+AV69+AH69)+(BN69+AZ69+AL69)+(BO69+BA69+AM69)+(BK69+AW69+AI69)+(BS69+BE69+AQ69)+(BL69+AX69+AJ69)+(BQ69+BC69+AO69)+(2*((BT69+BF69+AR69)+(BU69+BG69+AS69)))+(CK69+CM69+CO69+CQ69+CS69+CU69)+(CL69*BY69)+(CN69*CA69)+(CP69+CC69)+(CR69+CE69)+(CT69+CG69)+(CV69+CI69)+BV69</f>
        <v>17</v>
      </c>
      <c r="Q69" s="46">
        <f>ROUNDDOWN(((S69/5)+T69+X69+Y69+U69+AC69+V69+AA69+(2*(AD69+AE69))+CK69+CM69+CO69+CQ69+CS69+CU69+(CL69*BX69)+(CN69*BZ69)+(CP69*CB69)+(CR69*CD69)+(CT69*CF69)+(CV69*CH69))*CX69,0)</f>
        <v>21</v>
      </c>
      <c r="R69" s="46">
        <f>ROUNDDOWN(AVERAGE(P69:Q69),0)</f>
        <v>19</v>
      </c>
      <c r="S69" s="12">
        <f>AG69+AU69+BI69</f>
        <v>57</v>
      </c>
      <c r="T69" s="12">
        <f>AH69+AV69+BJ69</f>
        <v>3</v>
      </c>
      <c r="U69" s="12">
        <f>AI69+AW69+BK69</f>
        <v>0</v>
      </c>
      <c r="V69" s="12">
        <f>AJ69+AX69+BL69</f>
        <v>0</v>
      </c>
      <c r="W69" s="12">
        <f>AK69+AY69+BM69</f>
        <v>0</v>
      </c>
      <c r="X69" s="12">
        <f>AL69+AZ69+BN69</f>
        <v>6</v>
      </c>
      <c r="Y69" s="12">
        <f>AM69+BA69+BO69</f>
        <v>0</v>
      </c>
      <c r="Z69" s="12">
        <f>AN69+BB69+BP69</f>
        <v>0</v>
      </c>
      <c r="AA69" s="12">
        <f>AO69+BC69+BQ69</f>
        <v>0</v>
      </c>
      <c r="AB69" s="12">
        <f>AP69+BD69+BR69</f>
        <v>0</v>
      </c>
      <c r="AC69" s="12">
        <f>AQ69+BE69+BS69</f>
        <v>1</v>
      </c>
      <c r="AD69" s="12">
        <f>AR69+BF69+BT69</f>
        <v>0</v>
      </c>
      <c r="AE69" s="12">
        <f>AS69+BG69+BU69</f>
        <v>0</v>
      </c>
      <c r="AF69" s="28"/>
      <c r="AG69" s="28"/>
      <c r="AH69" s="28"/>
      <c r="AI69" s="28"/>
      <c r="AJ69" s="28"/>
      <c r="AK69" s="28"/>
      <c r="AL69" s="28"/>
      <c r="AM69" s="28"/>
      <c r="AN69" s="28"/>
      <c r="AO69" s="28"/>
      <c r="AP69" s="28"/>
      <c r="AQ69" s="28"/>
      <c r="AR69" s="28"/>
      <c r="AS69" s="28"/>
      <c r="AT69" s="28"/>
      <c r="AU69" s="12">
        <f>IF($H69=3,IF(OR($F69="DDV",$F69="DDG",$F69="DD"),'Fleet Tech - Tech'!B$3,IF($F69="CL",'Fleet Tech - Tech'!B$4,IF($F69="CA",'Fleet Tech - Tech'!B$5,IF($F69="BC",'Fleet Tech - Tech'!B$6,IF($F69="BB",'Fleet Tech - Tech'!B$7,IF($F69="CVL",'Fleet Tech - Tech'!B$8,IF($F69="CV",'Fleet Tech - Tech'!B$9,IF($F69="SS",'Fleet Tech - Tech'!B$10,IF($F69="BBV",'Fleet Tech - Tech'!B$11,IF($F69="CB",'Fleet Tech - Tech'!B$15,IF($F69="AE",'Fleet Tech - Tech'!B$16,IF($F69="IX",'Fleet Tech - Tech'!B$17,IF($F69="BM",'Fleet Tech - Tech'!B$13,IF($F69="AR",'Fleet Tech - Tech'!B$12,IF($F69="SSV",'Fleet Tech - Tech'!B$14,"nil"))))))))))))))),0)</f>
        <v>57</v>
      </c>
      <c r="AV69" s="12">
        <f>IF($H69=3,IF(OR($F69="DDV",$F69="DDG",$F69="DD"),'Fleet Tech - Tech'!C$3,IF($F69="CL",'Fleet Tech - Tech'!C$4,IF($F69="CA",'Fleet Tech - Tech'!C$5,IF($F69="BC",'Fleet Tech - Tech'!C$6,IF($F69="BB",'Fleet Tech - Tech'!C$7,IF($F69="CVL",'Fleet Tech - Tech'!C$8,IF($F69="CV",'Fleet Tech - Tech'!C$9,IF($F69="SS",'Fleet Tech - Tech'!C$10,IF($F69="BBV",'Fleet Tech - Tech'!C$11,IF($F69="CB",'Fleet Tech - Tech'!C$15,IF($F69="AE",'Fleet Tech - Tech'!C$16,IF($F69="IX",'Fleet Tech - Tech'!C$17,IF($F69="BM",'Fleet Tech - Tech'!C$13,IF($F69="AR",'Fleet Tech - Tech'!C$12,IF($F69="SSV",'Fleet Tech - Tech'!C$14,"nil"))))))))))))))),0)</f>
        <v>3</v>
      </c>
      <c r="AW69" s="12">
        <f>IF($H69=3,IF(OR($F69="DDV",$F69="DDG",$F69="DD"),'Fleet Tech - Tech'!D$3,IF($F69="CL",'Fleet Tech - Tech'!D$4,IF($F69="CA",'Fleet Tech - Tech'!D$5,IF($F69="BC",'Fleet Tech - Tech'!D$6,IF($F69="BB",'Fleet Tech - Tech'!D$7,IF($F69="CVL",'Fleet Tech - Tech'!D$8,IF($F69="CV",'Fleet Tech - Tech'!D$9,IF($F69="SS",'Fleet Tech - Tech'!D$10,IF($F69="BBV",'Fleet Tech - Tech'!D$11,IF($F69="CB",'Fleet Tech - Tech'!D$15,IF($F69="AE",'Fleet Tech - Tech'!D$16,IF($F69="IX",'Fleet Tech - Tech'!D$17,IF($F69="BM",'Fleet Tech - Tech'!D$13,IF($F69="AR",'Fleet Tech - Tech'!D$12,IF($F69="SSV",'Fleet Tech - Tech'!D$14,"nil"))))))))))))))),0)</f>
        <v>0</v>
      </c>
      <c r="AX69" s="12">
        <f>IF($H69=3,IF(OR($F69="DDV",$F69="DDG",$F69="DD"),'Fleet Tech - Tech'!E$3,IF($F69="CL",'Fleet Tech - Tech'!E$4,IF($F69="CA",'Fleet Tech - Tech'!E$5,IF($F69="BC",'Fleet Tech - Tech'!E$6,IF($F69="BB",'Fleet Tech - Tech'!E$7,IF($F69="CVL",'Fleet Tech - Tech'!E$8,IF($F69="CV",'Fleet Tech - Tech'!E$9,IF($F69="SS",'Fleet Tech - Tech'!E$10,IF($F69="BBV",'Fleet Tech - Tech'!E$11,IF($F69="CB",'Fleet Tech - Tech'!E$15,IF($F69="AE",'Fleet Tech - Tech'!E$16,IF($F69="IX",'Fleet Tech - Tech'!E$17,IF($F69="BM",'Fleet Tech - Tech'!E$13,IF($F69="AR",'Fleet Tech - Tech'!E$12,IF($F69="SSV",'Fleet Tech - Tech'!E$14,"nil"))))))))))))))),0)</f>
        <v>0</v>
      </c>
      <c r="AY69" s="12">
        <f>IF($H69=3,IF(OR($F69="DDV",$F69="DDG",$F69="DD"),'Fleet Tech - Tech'!F$3,IF($F69="CL",'Fleet Tech - Tech'!F$4,IF($F69="CA",'Fleet Tech - Tech'!F$5,IF($F69="BC",'Fleet Tech - Tech'!F$6,IF($F69="BB",'Fleet Tech - Tech'!F$7,IF($F69="CVL",'Fleet Tech - Tech'!F$8,IF($F69="CV",'Fleet Tech - Tech'!F$9,IF($F69="SS",'Fleet Tech - Tech'!F$10,IF($F69="BBV",'Fleet Tech - Tech'!F$11,IF($F69="CB",'Fleet Tech - Tech'!F$15,IF($F69="AE",'Fleet Tech - Tech'!F$16,IF($F69="IX",'Fleet Tech - Tech'!F$17,IF($F69="BM",'Fleet Tech - Tech'!F$13,IF($F69="AR",'Fleet Tech - Tech'!F$12,IF($F69="SSV",'Fleet Tech - Tech'!F$14,"nil"))))))))))))))),0)</f>
        <v>0</v>
      </c>
      <c r="AZ69" s="12">
        <f>IF($H69=3,IF(OR($F69="DDV",$F69="DDG",$F69="DD"),'Fleet Tech - Tech'!G$3,IF($F69="CL",'Fleet Tech - Tech'!G$4,IF($F69="CA",'Fleet Tech - Tech'!G$5,IF($F69="BC",'Fleet Tech - Tech'!G$6,IF($F69="BB",'Fleet Tech - Tech'!G$7,IF($F69="CVL",'Fleet Tech - Tech'!G$8,IF($F69="CV",'Fleet Tech - Tech'!G$9,IF($F69="SS",'Fleet Tech - Tech'!G$10,IF($F69="BBV",'Fleet Tech - Tech'!G$11,IF($F69="CB",'Fleet Tech - Tech'!G$15,IF($F69="AE",'Fleet Tech - Tech'!G$16,IF($F69="IX",'Fleet Tech - Tech'!G$17,IF($F69="BM",'Fleet Tech - Tech'!G$13,IF($F69="AR",'Fleet Tech - Tech'!G$12,IF($F69="SSV",'Fleet Tech - Tech'!G$14,"nil"))))))))))))))),0)</f>
        <v>6</v>
      </c>
      <c r="BA69" s="12">
        <f>IF($H69=3,IF(OR($F69="DDV",$F69="DDG",$F69="DD"),'Fleet Tech - Tech'!H$3,IF($F69="CL",'Fleet Tech - Tech'!H$4,IF($F69="CA",'Fleet Tech - Tech'!H$5,IF($F69="BC",'Fleet Tech - Tech'!H$6,IF($F69="BB",'Fleet Tech - Tech'!H$7,IF($F69="CVL",'Fleet Tech - Tech'!H$8,IF($F69="CV",'Fleet Tech - Tech'!H$9,IF($F69="SS",'Fleet Tech - Tech'!H$10,IF($F69="BBV",'Fleet Tech - Tech'!H$11,IF($F69="CB",'Fleet Tech - Tech'!H$15,IF($F69="AE",'Fleet Tech - Tech'!H$16,IF($F69="IX",'Fleet Tech - Tech'!H$17,IF($F69="BM",'Fleet Tech - Tech'!H$13,IF($F69="AR",'Fleet Tech - Tech'!H$12,IF($F69="SSV",'Fleet Tech - Tech'!H$14,"nil"))))))))))))))),0)</f>
        <v>0</v>
      </c>
      <c r="BB69" s="12">
        <f>IF($H69=3,IF(OR($F69="DDV",$F69="DDG",$F69="DD"),'Fleet Tech - Tech'!I$3,IF($F69="CL",'Fleet Tech - Tech'!I$4,IF($F69="CA",'Fleet Tech - Tech'!I$5,IF($F69="BC",'Fleet Tech - Tech'!I$6,IF($F69="BB",'Fleet Tech - Tech'!I$7,IF($F69="CVL",'Fleet Tech - Tech'!I$8,IF($F69="CV",'Fleet Tech - Tech'!I$9,IF($F69="SS",'Fleet Tech - Tech'!I$10,IF($F69="BBV",'Fleet Tech - Tech'!I$11,IF($F69="CB",'Fleet Tech - Tech'!I$15,IF($F69="AE",'Fleet Tech - Tech'!I$16,IF($F69="IX",'Fleet Tech - Tech'!I$17,IF($F69="BM",'Fleet Tech - Tech'!I$13,IF($F69="AR",'Fleet Tech - Tech'!I$12,IF($F69="SSV",'Fleet Tech - Tech'!I$14,"nil"))))))))))))))),0)</f>
        <v>0</v>
      </c>
      <c r="BC69" s="12">
        <f>IF($H69=3,IF(OR($F69="DDV",$F69="DDG",$F69="DD"),'Fleet Tech - Tech'!J$3,IF($F69="CL",'Fleet Tech - Tech'!J$4,IF($F69="CA",'Fleet Tech - Tech'!J$5,IF($F69="BC",'Fleet Tech - Tech'!J$6,IF($F69="BB",'Fleet Tech - Tech'!J$7,IF($F69="CVL",'Fleet Tech - Tech'!J$8,IF($F69="CV",'Fleet Tech - Tech'!J$9,IF($F69="SS",'Fleet Tech - Tech'!J$10,IF($F69="BBV",'Fleet Tech - Tech'!J$11,IF($F69="CB",'Fleet Tech - Tech'!J$15,IF($F69="AE",'Fleet Tech - Tech'!J$16,IF($F69="IX",'Fleet Tech - Tech'!J$17,IF($F69="BM",'Fleet Tech - Tech'!J$13,IF($F69="AR",'Fleet Tech - Tech'!J$12,IF($F69="SSV",'Fleet Tech - Tech'!J$14,"nil"))))))))))))))),0)</f>
        <v>0</v>
      </c>
      <c r="BD69" s="12">
        <f>IF($H69=3,IF(OR($F69="DDV",$F69="DDG",$F69="DD"),'Fleet Tech - Tech'!K$3,IF($F69="CL",'Fleet Tech - Tech'!K$4,IF($F69="CA",'Fleet Tech - Tech'!K$5,IF($F69="BC",'Fleet Tech - Tech'!K$6,IF($F69="BB",'Fleet Tech - Tech'!K$7,IF($F69="CVL",'Fleet Tech - Tech'!K$8,IF($F69="CV",'Fleet Tech - Tech'!K$9,IF($F69="SS",'Fleet Tech - Tech'!K$10,IF($F69="BBV",'Fleet Tech - Tech'!K$11,IF($F69="CB",'Fleet Tech - Tech'!K$15,IF($F69="AE",'Fleet Tech - Tech'!K$16,IF($F69="IX",'Fleet Tech - Tech'!K$17,IF($F69="BM",'Fleet Tech - Tech'!K$13,IF($F69="AR",'Fleet Tech - Tech'!K$12,IF($F69="SSV",'Fleet Tech - Tech'!K$14,"nil"))))))))))))))),0)</f>
        <v>0</v>
      </c>
      <c r="BE69" s="12">
        <f>IF($H69=3,IF(OR($F69="DDV",$F69="DDG",$F69="DD"),'Fleet Tech - Tech'!L$3,IF($F69="CL",'Fleet Tech - Tech'!L$4,IF($F69="CA",'Fleet Tech - Tech'!L$5,IF($F69="BC",'Fleet Tech - Tech'!L$6,IF($F69="BB",'Fleet Tech - Tech'!L$7,IF($F69="CVL",'Fleet Tech - Tech'!L$8,IF($F69="CV",'Fleet Tech - Tech'!L$9,IF($F69="SS",'Fleet Tech - Tech'!L$10,IF($F69="BBV",'Fleet Tech - Tech'!L$11,IF($F69="CB",'Fleet Tech - Tech'!L$15,IF($F69="AE",'Fleet Tech - Tech'!L$16,IF($F69="IX",'Fleet Tech - Tech'!L$17,IF($F69="BM",'Fleet Tech - Tech'!L$13,IF($F69="AR",'Fleet Tech - Tech'!L$12,IF($F69="SSV",'Fleet Tech - Tech'!L$14,"nil"))))))))))))))),0)</f>
        <v>1</v>
      </c>
      <c r="BF69" s="12">
        <f>IF($H69=3,IF(OR($F69="DDV",$F69="DDG",$F69="DD"),'Fleet Tech - Tech'!M$3,IF($F69="CL",'Fleet Tech - Tech'!M$4,IF($F69="CA",'Fleet Tech - Tech'!M$5,IF($F69="BC",'Fleet Tech - Tech'!M$6,IF($F69="BB",'Fleet Tech - Tech'!M$7,IF($F69="CVL",'Fleet Tech - Tech'!M$8,IF($F69="CV",'Fleet Tech - Tech'!M$9,IF($F69="SS",'Fleet Tech - Tech'!M$10,IF($F69="BBV",'Fleet Tech - Tech'!M$11,IF($F69="CB",'Fleet Tech - Tech'!M$15,IF($F69="AE",'Fleet Tech - Tech'!M$16,IF($F69="IX",'Fleet Tech - Tech'!M$17,IF($F69="BM",'Fleet Tech - Tech'!M$13,IF($F69="AR",'Fleet Tech - Tech'!M$12,IF($F69="SSV",'Fleet Tech - Tech'!M$14,"nil"))))))))))))))),0)</f>
        <v>0</v>
      </c>
      <c r="BG69" s="12">
        <f>IF($H69=3,IF(OR($F69="DDV",$F69="DDG",$F69="DD"),'Fleet Tech - Tech'!N$3,IF($F69="CL",'Fleet Tech - Tech'!N$4,IF($F69="CA",'Fleet Tech - Tech'!N$5,IF($F69="BC",'Fleet Tech - Tech'!N$6,IF($F69="BB",'Fleet Tech - Tech'!N$7,IF($F69="CVL",'Fleet Tech - Tech'!N$8,IF($F69="CV",'Fleet Tech - Tech'!N$9,IF($F69="SS",'Fleet Tech - Tech'!N$10,IF($F69="BBV",'Fleet Tech - Tech'!N$11,IF($F69="CB",'Fleet Tech - Tech'!N$15,IF($F69="AE",'Fleet Tech - Tech'!N$16,IF($F69="IX",'Fleet Tech - Tech'!N$17,IF($F69="BM",'Fleet Tech - Tech'!N$13,IF($F69="AR",'Fleet Tech - Tech'!N$12,IF($F69="SSV",'Fleet Tech - Tech'!N$14,"nil"))))))))))))))),0)</f>
        <v>0</v>
      </c>
      <c r="BH69" s="28"/>
      <c r="BI69" s="28"/>
      <c r="BJ69" s="28"/>
      <c r="BK69" s="28"/>
      <c r="BL69" s="28"/>
      <c r="BM69" s="28"/>
      <c r="BN69" s="28"/>
      <c r="BO69" s="28"/>
      <c r="BP69" s="28"/>
      <c r="BQ69" s="28"/>
      <c r="BR69" s="28"/>
      <c r="BS69" s="28"/>
      <c r="BT69" s="28"/>
      <c r="BU69" s="28"/>
      <c r="BV69" s="28"/>
      <c r="BW69" s="28"/>
      <c r="BX69" s="12">
        <v>-1</v>
      </c>
      <c r="BY69" s="12">
        <v>-1</v>
      </c>
      <c r="BZ69" s="12">
        <v>-1</v>
      </c>
      <c r="CA69" s="12">
        <v>-1</v>
      </c>
      <c r="CB69" s="12">
        <v>-1</v>
      </c>
      <c r="CC69" s="12">
        <v>-1</v>
      </c>
      <c r="CD69" s="12">
        <v>-1</v>
      </c>
      <c r="CE69" s="12">
        <v>-1</v>
      </c>
      <c r="CF69" s="12">
        <v>-1</v>
      </c>
      <c r="CG69" s="12">
        <v>-1</v>
      </c>
      <c r="CH69" s="12">
        <v>-1</v>
      </c>
      <c r="CI69" s="12">
        <v>-1</v>
      </c>
      <c r="CJ69" s="47"/>
      <c r="CK69" s="48">
        <f>IF(BX69=5,320,IF(BX69=4,195,IF(BX69=3,132,IF(BX69=2,90,IF(BX69=1,58,IF(BX69=-1,0,35))))))</f>
        <v>0</v>
      </c>
      <c r="CL69" s="48">
        <f>IF(BX69=5,20,IF(BX69=4,15,IF(BX69=3,12,IF(BX69=2,10,IF(BX69=1,8,IF(BX69=-1,0,5))))))</f>
        <v>0</v>
      </c>
      <c r="CM69" s="48">
        <f>IF(BZ69=5,320,IF(BZ69=4,195,IF(BZ69=3,132,IF(BZ69=2,90,IF(BZ69=1,58,IF(BZ69=-1,0,35))))))</f>
        <v>0</v>
      </c>
      <c r="CN69" s="48">
        <f>IF(BZ69=5,20,IF(BZ69=4,15,IF(BZ69=3,12,IF(BZ69=2,10,IF(BZ69=1,8,IF(BZ69=-1,0,5))))))</f>
        <v>0</v>
      </c>
      <c r="CO69" s="48">
        <f>IF(CB69=5,320,IF(CB69=4,195,IF(CB69=3,132,IF(CB69=2,90,IF(CB69=1,58,IF(CB69=-1,0,35))))))</f>
        <v>0</v>
      </c>
      <c r="CP69" s="48">
        <f>IF(CB69=5,20,IF(CB69=4,15,IF(CB69=3,12,IF(CB69=2,10,IF(CB69=1,8,IF(CB69=-1,0,5))))))</f>
        <v>0</v>
      </c>
      <c r="CQ69" s="48">
        <f>IF(CD69=5,320,IF(CD69=4,195,IF(CD69=3,132,IF(CD69=2,90,IF(CD69=1,58,IF(CD69=-1,0,35))))))</f>
        <v>0</v>
      </c>
      <c r="CR69" s="48">
        <f>IF(CD69=5,20,IF(CD69=4,15,IF(CD69=3,12,IF(CD69=2,10,IF(CD69=1,8,IF(CD69=-1,0,5))))))</f>
        <v>0</v>
      </c>
      <c r="CS69" s="48">
        <f>IF(CF69=5,320,IF(CF69=4,195,IF(CF69=3,132,IF(CF69=2,90,IF(CF69=1,58,IF(CF69=-1,0,35))))))</f>
        <v>0</v>
      </c>
      <c r="CT69" s="48">
        <f>IF(CF69=5,20,IF(CF69=4,15,IF(CF69=3,12,IF(CF69=2,10,IF(CF69=1,8,IF(CF69=-1,0,5))))))</f>
        <v>0</v>
      </c>
      <c r="CU69" s="48">
        <f>IF(CH69=5,320,IF(CH69=4,195,IF(CH69=3,132,IF(CH69=2,90,IF(CH69=1,58,IF(CH69=-1,0,35))))))</f>
        <v>0</v>
      </c>
      <c r="CV69" s="48">
        <f>IF(CH69=5,20,IF(CH69=4,15,IF(CH69=3,12,IF(CH69=2,10,IF(CH69=1,8,IF(CH69=-1,0,5))))))</f>
        <v>0</v>
      </c>
      <c r="CW69" s="48">
        <f>IF(BY69&gt;10,(BY69/10)-ROUNDDOWN(BY69/10,0),0)+IF(CA69&gt;10,(CA69/10)-ROUNDDOWN(CA69/10,0),0)+IF(CC69&gt;10,(CC69/10)-ROUNDDOWN(CC69/10,0),0)+IF(CE69&gt;10,(CE69/10)-ROUNDDOWN(CE69/10,0),0)+IF(CG69&gt;10,(CG69/10)-ROUNDDOWN(CG69/10,0),0)+IF(CI69&gt;10,(CI69/10)-ROUNDDOWN(CI69/10,0),0)</f>
        <v>0</v>
      </c>
      <c r="CX69" s="48">
        <f>1+(CW69/10)</f>
        <v>1</v>
      </c>
    </row>
    <row r="70" ht="20.05" customHeight="1">
      <c r="A70" t="s" s="43">
        <v>316</v>
      </c>
      <c r="B70" s="49"/>
      <c r="C70" t="s" s="45">
        <v>279</v>
      </c>
      <c r="D70" s="13">
        <v>7</v>
      </c>
      <c r="E70" t="s" s="15">
        <v>232</v>
      </c>
      <c r="F70" t="s" s="15">
        <v>233</v>
      </c>
      <c r="G70" t="s" s="15">
        <v>314</v>
      </c>
      <c r="H70" s="12">
        <v>0</v>
      </c>
      <c r="I70" t="s" s="15">
        <v>277</v>
      </c>
      <c r="J70" s="12">
        <v>70</v>
      </c>
      <c r="K70" t="s" s="14">
        <v>236</v>
      </c>
      <c r="L70" t="s" s="15">
        <v>254</v>
      </c>
      <c r="M70" t="s" s="15">
        <v>290</v>
      </c>
      <c r="N70" s="46">
        <f>ROUND((SUM(AA70,T70:Y70,AC70:AE70,Z70*10)-AB70*15)*(IF(K70="Heavy",0.15,IF(K70="Medium",0,IF(K70="Light",-0.15,10)))+1),0)</f>
        <v>0</v>
      </c>
      <c r="O70" s="50"/>
      <c r="P70" s="46">
        <f>ROUNDDOWN((BI70+AU70+AG70)/5,0)+(BJ70+AV70+AH70)+(BN70+AZ70+AL70)+(BO70+BA70+AM70)+(BK70+AW70+AI70)+(BS70+BE70+AQ70)+(BL70+AX70+AJ70)+(BQ70+BC70+AO70)+(2*((BT70+BF70+AR70)+(BU70+BG70+AS70)))+(CK70+CM70+CO70+CQ70+CS70+CU70)+(CL70*BY70)+(CN70*CA70)+(CP70+CC70)+(CR70+CE70)+(CT70+CG70)+(CV70+CI70)+BV70</f>
        <v>-4</v>
      </c>
      <c r="Q70" s="46">
        <f>ROUNDDOWN(((S70/5)+T70+X70+Y70+U70+AC70+V70+AA70+(2*(AD70+AE70))+CK70+CM70+CO70+CQ70+CS70+CU70+(CL70*BX70)+(CN70*BZ70)+(CP70*CB70)+(CR70*CD70)+(CT70*CF70)+(CV70*CH70))*CX70,0)</f>
        <v>0</v>
      </c>
      <c r="R70" s="46">
        <f>ROUNDDOWN(AVERAGE(P70:Q70),0)</f>
        <v>-2</v>
      </c>
      <c r="S70" s="12">
        <f>AG70+AU70+BI70</f>
        <v>0</v>
      </c>
      <c r="T70" s="12">
        <f>AH70+AV70+BJ70</f>
        <v>0</v>
      </c>
      <c r="U70" s="12">
        <f>AI70+AW70+BK70</f>
        <v>0</v>
      </c>
      <c r="V70" s="12">
        <f>AJ70+AX70+BL70</f>
        <v>0</v>
      </c>
      <c r="W70" s="12">
        <f>AK70+AY70+BM70</f>
        <v>0</v>
      </c>
      <c r="X70" s="12">
        <f>AL70+AZ70+BN70</f>
        <v>0</v>
      </c>
      <c r="Y70" s="12">
        <f>AM70+BA70+BO70</f>
        <v>0</v>
      </c>
      <c r="Z70" s="12">
        <f>AN70+BB70+BP70</f>
        <v>0</v>
      </c>
      <c r="AA70" s="12">
        <f>AO70+BC70+BQ70</f>
        <v>0</v>
      </c>
      <c r="AB70" s="12">
        <f>AP70+BD70+BR70</f>
        <v>0</v>
      </c>
      <c r="AC70" s="12">
        <f>AQ70+BE70+BS70</f>
        <v>0</v>
      </c>
      <c r="AD70" s="12">
        <f>AR70+BF70+BT70</f>
        <v>0</v>
      </c>
      <c r="AE70" s="12">
        <f>AS70+BG70+BU70</f>
        <v>0</v>
      </c>
      <c r="AF70" s="28"/>
      <c r="AG70" s="28"/>
      <c r="AH70" s="28"/>
      <c r="AI70" s="28"/>
      <c r="AJ70" s="28"/>
      <c r="AK70" s="28"/>
      <c r="AL70" s="28"/>
      <c r="AM70" s="28"/>
      <c r="AN70" s="28"/>
      <c r="AO70" s="28"/>
      <c r="AP70" s="28"/>
      <c r="AQ70" s="28"/>
      <c r="AR70" s="28"/>
      <c r="AS70" s="28"/>
      <c r="AT70" s="28"/>
      <c r="AU70" s="12">
        <f>IF($H70=3,IF(OR($F70="DDV",$F70="DDG",$F70="DD"),'Fleet Tech - Tech'!B$3,IF($F70="CL",'Fleet Tech - Tech'!B$4,IF($F70="CA",'Fleet Tech - Tech'!B$5,IF($F70="BC",'Fleet Tech - Tech'!B$6,IF($F70="BB",'Fleet Tech - Tech'!B$7,IF($F70="CVL",'Fleet Tech - Tech'!B$8,IF($F70="CV",'Fleet Tech - Tech'!B$9,IF($F70="SS",'Fleet Tech - Tech'!B$10,IF($F70="BBV",'Fleet Tech - Tech'!B$11,IF($F70="CB",'Fleet Tech - Tech'!B$15,IF($F70="AE",'Fleet Tech - Tech'!B$16,IF($F70="IX",'Fleet Tech - Tech'!B$17,IF($F70="BM",'Fleet Tech - Tech'!B$13,IF($F70="AR",'Fleet Tech - Tech'!B$12,IF($F70="SSV",'Fleet Tech - Tech'!B$14,"nil"))))))))))))))),0)</f>
        <v>0</v>
      </c>
      <c r="AV70" s="12">
        <f>IF($H70=3,IF(OR($F70="DDV",$F70="DDG",$F70="DD"),'Fleet Tech - Tech'!C$3,IF($F70="CL",'Fleet Tech - Tech'!C$4,IF($F70="CA",'Fleet Tech - Tech'!C$5,IF($F70="BC",'Fleet Tech - Tech'!C$6,IF($F70="BB",'Fleet Tech - Tech'!C$7,IF($F70="CVL",'Fleet Tech - Tech'!C$8,IF($F70="CV",'Fleet Tech - Tech'!C$9,IF($F70="SS",'Fleet Tech - Tech'!C$10,IF($F70="BBV",'Fleet Tech - Tech'!C$11,IF($F70="CB",'Fleet Tech - Tech'!C$15,IF($F70="AE",'Fleet Tech - Tech'!C$16,IF($F70="IX",'Fleet Tech - Tech'!C$17,IF($F70="BM",'Fleet Tech - Tech'!C$13,IF($F70="AR",'Fleet Tech - Tech'!C$12,IF($F70="SSV",'Fleet Tech - Tech'!C$14,"nil"))))))))))))))),0)</f>
        <v>0</v>
      </c>
      <c r="AW70" s="12">
        <f>IF($H70=3,IF(OR($F70="DDV",$F70="DDG",$F70="DD"),'Fleet Tech - Tech'!D$3,IF($F70="CL",'Fleet Tech - Tech'!D$4,IF($F70="CA",'Fleet Tech - Tech'!D$5,IF($F70="BC",'Fleet Tech - Tech'!D$6,IF($F70="BB",'Fleet Tech - Tech'!D$7,IF($F70="CVL",'Fleet Tech - Tech'!D$8,IF($F70="CV",'Fleet Tech - Tech'!D$9,IF($F70="SS",'Fleet Tech - Tech'!D$10,IF($F70="BBV",'Fleet Tech - Tech'!D$11,IF($F70="CB",'Fleet Tech - Tech'!D$15,IF($F70="AE",'Fleet Tech - Tech'!D$16,IF($F70="IX",'Fleet Tech - Tech'!D$17,IF($F70="BM",'Fleet Tech - Tech'!D$13,IF($F70="AR",'Fleet Tech - Tech'!D$12,IF($F70="SSV",'Fleet Tech - Tech'!D$14,"nil"))))))))))))))),0)</f>
        <v>0</v>
      </c>
      <c r="AX70" s="12">
        <f>IF($H70=3,IF(OR($F70="DDV",$F70="DDG",$F70="DD"),'Fleet Tech - Tech'!E$3,IF($F70="CL",'Fleet Tech - Tech'!E$4,IF($F70="CA",'Fleet Tech - Tech'!E$5,IF($F70="BC",'Fleet Tech - Tech'!E$6,IF($F70="BB",'Fleet Tech - Tech'!E$7,IF($F70="CVL",'Fleet Tech - Tech'!E$8,IF($F70="CV",'Fleet Tech - Tech'!E$9,IF($F70="SS",'Fleet Tech - Tech'!E$10,IF($F70="BBV",'Fleet Tech - Tech'!E$11,IF($F70="CB",'Fleet Tech - Tech'!E$15,IF($F70="AE",'Fleet Tech - Tech'!E$16,IF($F70="IX",'Fleet Tech - Tech'!E$17,IF($F70="BM",'Fleet Tech - Tech'!E$13,IF($F70="AR",'Fleet Tech - Tech'!E$12,IF($F70="SSV",'Fleet Tech - Tech'!E$14,"nil"))))))))))))))),0)</f>
        <v>0</v>
      </c>
      <c r="AY70" s="12">
        <f>IF($H70=3,IF(OR($F70="DDV",$F70="DDG",$F70="DD"),'Fleet Tech - Tech'!F$3,IF($F70="CL",'Fleet Tech - Tech'!F$4,IF($F70="CA",'Fleet Tech - Tech'!F$5,IF($F70="BC",'Fleet Tech - Tech'!F$6,IF($F70="BB",'Fleet Tech - Tech'!F$7,IF($F70="CVL",'Fleet Tech - Tech'!F$8,IF($F70="CV",'Fleet Tech - Tech'!F$9,IF($F70="SS",'Fleet Tech - Tech'!F$10,IF($F70="BBV",'Fleet Tech - Tech'!F$11,IF($F70="CB",'Fleet Tech - Tech'!F$15,IF($F70="AE",'Fleet Tech - Tech'!F$16,IF($F70="IX",'Fleet Tech - Tech'!F$17,IF($F70="BM",'Fleet Tech - Tech'!F$13,IF($F70="AR",'Fleet Tech - Tech'!F$12,IF($F70="SSV",'Fleet Tech - Tech'!F$14,"nil"))))))))))))))),0)</f>
        <v>0</v>
      </c>
      <c r="AZ70" s="12">
        <f>IF($H70=3,IF(OR($F70="DDV",$F70="DDG",$F70="DD"),'Fleet Tech - Tech'!G$3,IF($F70="CL",'Fleet Tech - Tech'!G$4,IF($F70="CA",'Fleet Tech - Tech'!G$5,IF($F70="BC",'Fleet Tech - Tech'!G$6,IF($F70="BB",'Fleet Tech - Tech'!G$7,IF($F70="CVL",'Fleet Tech - Tech'!G$8,IF($F70="CV",'Fleet Tech - Tech'!G$9,IF($F70="SS",'Fleet Tech - Tech'!G$10,IF($F70="BBV",'Fleet Tech - Tech'!G$11,IF($F70="CB",'Fleet Tech - Tech'!G$15,IF($F70="AE",'Fleet Tech - Tech'!G$16,IF($F70="IX",'Fleet Tech - Tech'!G$17,IF($F70="BM",'Fleet Tech - Tech'!G$13,IF($F70="AR",'Fleet Tech - Tech'!G$12,IF($F70="SSV",'Fleet Tech - Tech'!G$14,"nil"))))))))))))))),0)</f>
        <v>0</v>
      </c>
      <c r="BA70" s="12">
        <f>IF($H70=3,IF(OR($F70="DDV",$F70="DDG",$F70="DD"),'Fleet Tech - Tech'!H$3,IF($F70="CL",'Fleet Tech - Tech'!H$4,IF($F70="CA",'Fleet Tech - Tech'!H$5,IF($F70="BC",'Fleet Tech - Tech'!H$6,IF($F70="BB",'Fleet Tech - Tech'!H$7,IF($F70="CVL",'Fleet Tech - Tech'!H$8,IF($F70="CV",'Fleet Tech - Tech'!H$9,IF($F70="SS",'Fleet Tech - Tech'!H$10,IF($F70="BBV",'Fleet Tech - Tech'!H$11,IF($F70="CB",'Fleet Tech - Tech'!H$15,IF($F70="AE",'Fleet Tech - Tech'!H$16,IF($F70="IX",'Fleet Tech - Tech'!H$17,IF($F70="BM",'Fleet Tech - Tech'!H$13,IF($F70="AR",'Fleet Tech - Tech'!H$12,IF($F70="SSV",'Fleet Tech - Tech'!H$14,"nil"))))))))))))))),0)</f>
        <v>0</v>
      </c>
      <c r="BB70" s="12">
        <f>IF($H70=3,IF(OR($F70="DDV",$F70="DDG",$F70="DD"),'Fleet Tech - Tech'!I$3,IF($F70="CL",'Fleet Tech - Tech'!I$4,IF($F70="CA",'Fleet Tech - Tech'!I$5,IF($F70="BC",'Fleet Tech - Tech'!I$6,IF($F70="BB",'Fleet Tech - Tech'!I$7,IF($F70="CVL",'Fleet Tech - Tech'!I$8,IF($F70="CV",'Fleet Tech - Tech'!I$9,IF($F70="SS",'Fleet Tech - Tech'!I$10,IF($F70="BBV",'Fleet Tech - Tech'!I$11,IF($F70="CB",'Fleet Tech - Tech'!I$15,IF($F70="AE",'Fleet Tech - Tech'!I$16,IF($F70="IX",'Fleet Tech - Tech'!I$17,IF($F70="BM",'Fleet Tech - Tech'!I$13,IF($F70="AR",'Fleet Tech - Tech'!I$12,IF($F70="SSV",'Fleet Tech - Tech'!I$14,"nil"))))))))))))))),0)</f>
        <v>0</v>
      </c>
      <c r="BC70" s="12">
        <f>IF($H70=3,IF(OR($F70="DDV",$F70="DDG",$F70="DD"),'Fleet Tech - Tech'!J$3,IF($F70="CL",'Fleet Tech - Tech'!J$4,IF($F70="CA",'Fleet Tech - Tech'!J$5,IF($F70="BC",'Fleet Tech - Tech'!J$6,IF($F70="BB",'Fleet Tech - Tech'!J$7,IF($F70="CVL",'Fleet Tech - Tech'!J$8,IF($F70="CV",'Fleet Tech - Tech'!J$9,IF($F70="SS",'Fleet Tech - Tech'!J$10,IF($F70="BBV",'Fleet Tech - Tech'!J$11,IF($F70="CB",'Fleet Tech - Tech'!J$15,IF($F70="AE",'Fleet Tech - Tech'!J$16,IF($F70="IX",'Fleet Tech - Tech'!J$17,IF($F70="BM",'Fleet Tech - Tech'!J$13,IF($F70="AR",'Fleet Tech - Tech'!J$12,IF($F70="SSV",'Fleet Tech - Tech'!J$14,"nil"))))))))))))))),0)</f>
        <v>0</v>
      </c>
      <c r="BD70" s="12">
        <f>IF($H70=3,IF(OR($F70="DDV",$F70="DDG",$F70="DD"),'Fleet Tech - Tech'!K$3,IF($F70="CL",'Fleet Tech - Tech'!K$4,IF($F70="CA",'Fleet Tech - Tech'!K$5,IF($F70="BC",'Fleet Tech - Tech'!K$6,IF($F70="BB",'Fleet Tech - Tech'!K$7,IF($F70="CVL",'Fleet Tech - Tech'!K$8,IF($F70="CV",'Fleet Tech - Tech'!K$9,IF($F70="SS",'Fleet Tech - Tech'!K$10,IF($F70="BBV",'Fleet Tech - Tech'!K$11,IF($F70="CB",'Fleet Tech - Tech'!K$15,IF($F70="AE",'Fleet Tech - Tech'!K$16,IF($F70="IX",'Fleet Tech - Tech'!K$17,IF($F70="BM",'Fleet Tech - Tech'!K$13,IF($F70="AR",'Fleet Tech - Tech'!K$12,IF($F70="SSV",'Fleet Tech - Tech'!K$14,"nil"))))))))))))))),0)</f>
        <v>0</v>
      </c>
      <c r="BE70" s="12">
        <f>IF($H70=3,IF(OR($F70="DDV",$F70="DDG",$F70="DD"),'Fleet Tech - Tech'!L$3,IF($F70="CL",'Fleet Tech - Tech'!L$4,IF($F70="CA",'Fleet Tech - Tech'!L$5,IF($F70="BC",'Fleet Tech - Tech'!L$6,IF($F70="BB",'Fleet Tech - Tech'!L$7,IF($F70="CVL",'Fleet Tech - Tech'!L$8,IF($F70="CV",'Fleet Tech - Tech'!L$9,IF($F70="SS",'Fleet Tech - Tech'!L$10,IF($F70="BBV",'Fleet Tech - Tech'!L$11,IF($F70="CB",'Fleet Tech - Tech'!L$15,IF($F70="AE",'Fleet Tech - Tech'!L$16,IF($F70="IX",'Fleet Tech - Tech'!L$17,IF($F70="BM",'Fleet Tech - Tech'!L$13,IF($F70="AR",'Fleet Tech - Tech'!L$12,IF($F70="SSV",'Fleet Tech - Tech'!L$14,"nil"))))))))))))))),0)</f>
        <v>0</v>
      </c>
      <c r="BF70" s="12">
        <f>IF($H70=3,IF(OR($F70="DDV",$F70="DDG",$F70="DD"),'Fleet Tech - Tech'!M$3,IF($F70="CL",'Fleet Tech - Tech'!M$4,IF($F70="CA",'Fleet Tech - Tech'!M$5,IF($F70="BC",'Fleet Tech - Tech'!M$6,IF($F70="BB",'Fleet Tech - Tech'!M$7,IF($F70="CVL",'Fleet Tech - Tech'!M$8,IF($F70="CV",'Fleet Tech - Tech'!M$9,IF($F70="SS",'Fleet Tech - Tech'!M$10,IF($F70="BBV",'Fleet Tech - Tech'!M$11,IF($F70="CB",'Fleet Tech - Tech'!M$15,IF($F70="AE",'Fleet Tech - Tech'!M$16,IF($F70="IX",'Fleet Tech - Tech'!M$17,IF($F70="BM",'Fleet Tech - Tech'!M$13,IF($F70="AR",'Fleet Tech - Tech'!M$12,IF($F70="SSV",'Fleet Tech - Tech'!M$14,"nil"))))))))))))))),0)</f>
        <v>0</v>
      </c>
      <c r="BG70" s="12">
        <f>IF($H70=3,IF(OR($F70="DDV",$F70="DDG",$F70="DD"),'Fleet Tech - Tech'!N$3,IF($F70="CL",'Fleet Tech - Tech'!N$4,IF($F70="CA",'Fleet Tech - Tech'!N$5,IF($F70="BC",'Fleet Tech - Tech'!N$6,IF($F70="BB",'Fleet Tech - Tech'!N$7,IF($F70="CVL",'Fleet Tech - Tech'!N$8,IF($F70="CV",'Fleet Tech - Tech'!N$9,IF($F70="SS",'Fleet Tech - Tech'!N$10,IF($F70="BBV",'Fleet Tech - Tech'!N$11,IF($F70="CB",'Fleet Tech - Tech'!N$15,IF($F70="AE",'Fleet Tech - Tech'!N$16,IF($F70="IX",'Fleet Tech - Tech'!N$17,IF($F70="BM",'Fleet Tech - Tech'!N$13,IF($F70="AR",'Fleet Tech - Tech'!N$12,IF($F70="SSV",'Fleet Tech - Tech'!N$14,"nil"))))))))))))))),0)</f>
        <v>0</v>
      </c>
      <c r="BH70" s="28"/>
      <c r="BI70" s="28"/>
      <c r="BJ70" s="28"/>
      <c r="BK70" s="28"/>
      <c r="BL70" s="28"/>
      <c r="BM70" s="28"/>
      <c r="BN70" s="28"/>
      <c r="BO70" s="28"/>
      <c r="BP70" s="28"/>
      <c r="BQ70" s="28"/>
      <c r="BR70" s="28"/>
      <c r="BS70" s="28"/>
      <c r="BT70" s="28"/>
      <c r="BU70" s="28"/>
      <c r="BV70" s="28"/>
      <c r="BW70" s="28"/>
      <c r="BX70" s="12">
        <v>-1</v>
      </c>
      <c r="BY70" s="12">
        <v>-1</v>
      </c>
      <c r="BZ70" s="12">
        <v>-1</v>
      </c>
      <c r="CA70" s="12">
        <v>-1</v>
      </c>
      <c r="CB70" s="12">
        <v>-1</v>
      </c>
      <c r="CC70" s="12">
        <v>-1</v>
      </c>
      <c r="CD70" s="12">
        <v>-1</v>
      </c>
      <c r="CE70" s="12">
        <v>-1</v>
      </c>
      <c r="CF70" s="12">
        <v>-1</v>
      </c>
      <c r="CG70" s="12">
        <v>-1</v>
      </c>
      <c r="CH70" s="12">
        <v>-1</v>
      </c>
      <c r="CI70" s="12">
        <v>-1</v>
      </c>
      <c r="CJ70" s="47"/>
      <c r="CK70" s="48">
        <f>IF(BX70=5,320,IF(BX70=4,195,IF(BX70=3,132,IF(BX70=2,90,IF(BX70=1,58,IF(BX70=-1,0,35))))))</f>
        <v>0</v>
      </c>
      <c r="CL70" s="48">
        <f>IF(BX70=5,20,IF(BX70=4,15,IF(BX70=3,12,IF(BX70=2,10,IF(BX70=1,8,IF(BX70=-1,0,5))))))</f>
        <v>0</v>
      </c>
      <c r="CM70" s="48">
        <f>IF(BZ70=5,320,IF(BZ70=4,195,IF(BZ70=3,132,IF(BZ70=2,90,IF(BZ70=1,58,IF(BZ70=-1,0,35))))))</f>
        <v>0</v>
      </c>
      <c r="CN70" s="48">
        <f>IF(BZ70=5,20,IF(BZ70=4,15,IF(BZ70=3,12,IF(BZ70=2,10,IF(BZ70=1,8,IF(BZ70=-1,0,5))))))</f>
        <v>0</v>
      </c>
      <c r="CO70" s="48">
        <f>IF(CB70=5,320,IF(CB70=4,195,IF(CB70=3,132,IF(CB70=2,90,IF(CB70=1,58,IF(CB70=-1,0,35))))))</f>
        <v>0</v>
      </c>
      <c r="CP70" s="48">
        <f>IF(CB70=5,20,IF(CB70=4,15,IF(CB70=3,12,IF(CB70=2,10,IF(CB70=1,8,IF(CB70=-1,0,5))))))</f>
        <v>0</v>
      </c>
      <c r="CQ70" s="48">
        <f>IF(CD70=5,320,IF(CD70=4,195,IF(CD70=3,132,IF(CD70=2,90,IF(CD70=1,58,IF(CD70=-1,0,35))))))</f>
        <v>0</v>
      </c>
      <c r="CR70" s="48">
        <f>IF(CD70=5,20,IF(CD70=4,15,IF(CD70=3,12,IF(CD70=2,10,IF(CD70=1,8,IF(CD70=-1,0,5))))))</f>
        <v>0</v>
      </c>
      <c r="CS70" s="48">
        <f>IF(CF70=5,320,IF(CF70=4,195,IF(CF70=3,132,IF(CF70=2,90,IF(CF70=1,58,IF(CF70=-1,0,35))))))</f>
        <v>0</v>
      </c>
      <c r="CT70" s="48">
        <f>IF(CF70=5,20,IF(CF70=4,15,IF(CF70=3,12,IF(CF70=2,10,IF(CF70=1,8,IF(CF70=-1,0,5))))))</f>
        <v>0</v>
      </c>
      <c r="CU70" s="48">
        <f>IF(CH70=5,320,IF(CH70=4,195,IF(CH70=3,132,IF(CH70=2,90,IF(CH70=1,58,IF(CH70=-1,0,35))))))</f>
        <v>0</v>
      </c>
      <c r="CV70" s="48">
        <f>IF(CH70=5,20,IF(CH70=4,15,IF(CH70=3,12,IF(CH70=2,10,IF(CH70=1,8,IF(CH70=-1,0,5))))))</f>
        <v>0</v>
      </c>
      <c r="CW70" s="48">
        <f>IF(BY70&gt;10,(BY70/10)-ROUNDDOWN(BY70/10,0),0)+IF(CA70&gt;10,(CA70/10)-ROUNDDOWN(CA70/10,0),0)+IF(CC70&gt;10,(CC70/10)-ROUNDDOWN(CC70/10,0),0)+IF(CE70&gt;10,(CE70/10)-ROUNDDOWN(CE70/10,0),0)+IF(CG70&gt;10,(CG70/10)-ROUNDDOWN(CG70/10,0),0)+IF(CI70&gt;10,(CI70/10)-ROUNDDOWN(CI70/10,0),0)</f>
        <v>0</v>
      </c>
      <c r="CX70" s="48">
        <f>1+(CW70/10)</f>
        <v>1</v>
      </c>
    </row>
    <row r="71" ht="20.05" customHeight="1">
      <c r="A71" t="s" s="43">
        <v>349</v>
      </c>
      <c r="B71" s="49"/>
      <c r="C71" t="s" s="45">
        <v>279</v>
      </c>
      <c r="D71" s="13">
        <v>7</v>
      </c>
      <c r="E71" t="s" s="15">
        <v>232</v>
      </c>
      <c r="F71" t="s" s="15">
        <v>275</v>
      </c>
      <c r="G71" t="s" s="15">
        <v>282</v>
      </c>
      <c r="H71" s="12">
        <v>0</v>
      </c>
      <c r="I71" t="s" s="15">
        <v>277</v>
      </c>
      <c r="J71" s="12">
        <v>70</v>
      </c>
      <c r="K71" t="s" s="14">
        <v>242</v>
      </c>
      <c r="L71" t="s" s="15">
        <v>254</v>
      </c>
      <c r="M71" t="s" s="15">
        <v>290</v>
      </c>
      <c r="N71" s="46">
        <f>ROUND((SUM(AA71,T71:Y71,AC71:AE71,Z71*10)-AB71*15)*(IF(K71="Heavy",0.15,IF(K71="Medium",0,IF(K71="Light",-0.15,10)))+1),0)</f>
        <v>0</v>
      </c>
      <c r="O71" s="50"/>
      <c r="P71" s="46">
        <f>ROUNDDOWN((BI71+AU71+AG71)/5,0)+(BJ71+AV71+AH71)+(BN71+AZ71+AL71)+(BO71+BA71+AM71)+(BK71+AW71+AI71)+(BS71+BE71+AQ71)+(BL71+AX71+AJ71)+(BQ71+BC71+AO71)+(2*((BT71+BF71+AR71)+(BU71+BG71+AS71)))+(CK71+CM71+CO71+CQ71+CS71+CU71)+(CL71*BY71)+(CN71*CA71)+(CP71+CC71)+(CR71+CE71)+(CT71+CG71)+(CV71+CI71)+BV71</f>
        <v>-4</v>
      </c>
      <c r="Q71" s="46">
        <f>ROUNDDOWN(((S71/5)+T71+X71+Y71+U71+AC71+V71+AA71+(2*(AD71+AE71))+CK71+CM71+CO71+CQ71+CS71+CU71+(CL71*BX71)+(CN71*BZ71)+(CP71*CB71)+(CR71*CD71)+(CT71*CF71)+(CV71*CH71))*CX71,0)</f>
        <v>0</v>
      </c>
      <c r="R71" s="46">
        <f>ROUNDDOWN(AVERAGE(P71:Q71),0)</f>
        <v>-2</v>
      </c>
      <c r="S71" s="12">
        <f>AG71+AU71+BI71</f>
        <v>0</v>
      </c>
      <c r="T71" s="12">
        <f>AH71+AV71+BJ71</f>
        <v>0</v>
      </c>
      <c r="U71" s="12">
        <f>AI71+AW71+BK71</f>
        <v>0</v>
      </c>
      <c r="V71" s="12">
        <f>AJ71+AX71+BL71</f>
        <v>0</v>
      </c>
      <c r="W71" s="12">
        <f>AK71+AY71+BM71</f>
        <v>0</v>
      </c>
      <c r="X71" s="12">
        <f>AL71+AZ71+BN71</f>
        <v>0</v>
      </c>
      <c r="Y71" s="12">
        <f>AM71+BA71+BO71</f>
        <v>0</v>
      </c>
      <c r="Z71" s="12">
        <f>AN71+BB71+BP71</f>
        <v>0</v>
      </c>
      <c r="AA71" s="12">
        <f>AO71+BC71+BQ71</f>
        <v>0</v>
      </c>
      <c r="AB71" s="12">
        <f>AP71+BD71+BR71</f>
        <v>0</v>
      </c>
      <c r="AC71" s="12">
        <f>AQ71+BE71+BS71</f>
        <v>0</v>
      </c>
      <c r="AD71" s="12">
        <f>AR71+BF71+BT71</f>
        <v>0</v>
      </c>
      <c r="AE71" s="12">
        <f>AS71+BG71+BU71</f>
        <v>0</v>
      </c>
      <c r="AF71" s="28"/>
      <c r="AG71" s="28"/>
      <c r="AH71" s="28"/>
      <c r="AI71" s="28"/>
      <c r="AJ71" s="28"/>
      <c r="AK71" s="28"/>
      <c r="AL71" s="28"/>
      <c r="AM71" s="28"/>
      <c r="AN71" s="28"/>
      <c r="AO71" s="28"/>
      <c r="AP71" s="28"/>
      <c r="AQ71" s="28"/>
      <c r="AR71" s="28"/>
      <c r="AS71" s="28"/>
      <c r="AT71" s="28"/>
      <c r="AU71" s="12">
        <f>IF($H71=3,IF(OR($F71="DDV",$F71="DDG",$F71="DD"),'Fleet Tech - Tech'!B$3,IF($F71="CL",'Fleet Tech - Tech'!B$4,IF($F71="CA",'Fleet Tech - Tech'!B$5,IF($F71="BC",'Fleet Tech - Tech'!B$6,IF($F71="BB",'Fleet Tech - Tech'!B$7,IF($F71="CVL",'Fleet Tech - Tech'!B$8,IF($F71="CV",'Fleet Tech - Tech'!B$9,IF($F71="SS",'Fleet Tech - Tech'!B$10,IF($F71="BBV",'Fleet Tech - Tech'!B$11,IF($F71="CB",'Fleet Tech - Tech'!B$15,IF($F71="AE",'Fleet Tech - Tech'!B$16,IF($F71="IX",'Fleet Tech - Tech'!B$17,IF($F71="BM",'Fleet Tech - Tech'!B$13,IF($F71="AR",'Fleet Tech - Tech'!B$12,IF($F71="SSV",'Fleet Tech - Tech'!B$14,"nil"))))))))))))))),0)</f>
        <v>0</v>
      </c>
      <c r="AV71" s="12">
        <f>IF($H71=3,IF(OR($F71="DDV",$F71="DDG",$F71="DD"),'Fleet Tech - Tech'!C$3,IF($F71="CL",'Fleet Tech - Tech'!C$4,IF($F71="CA",'Fleet Tech - Tech'!C$5,IF($F71="BC",'Fleet Tech - Tech'!C$6,IF($F71="BB",'Fleet Tech - Tech'!C$7,IF($F71="CVL",'Fleet Tech - Tech'!C$8,IF($F71="CV",'Fleet Tech - Tech'!C$9,IF($F71="SS",'Fleet Tech - Tech'!C$10,IF($F71="BBV",'Fleet Tech - Tech'!C$11,IF($F71="CB",'Fleet Tech - Tech'!C$15,IF($F71="AE",'Fleet Tech - Tech'!C$16,IF($F71="IX",'Fleet Tech - Tech'!C$17,IF($F71="BM",'Fleet Tech - Tech'!C$13,IF($F71="AR",'Fleet Tech - Tech'!C$12,IF($F71="SSV",'Fleet Tech - Tech'!C$14,"nil"))))))))))))))),0)</f>
        <v>0</v>
      </c>
      <c r="AW71" s="12">
        <f>IF($H71=3,IF(OR($F71="DDV",$F71="DDG",$F71="DD"),'Fleet Tech - Tech'!D$3,IF($F71="CL",'Fleet Tech - Tech'!D$4,IF($F71="CA",'Fleet Tech - Tech'!D$5,IF($F71="BC",'Fleet Tech - Tech'!D$6,IF($F71="BB",'Fleet Tech - Tech'!D$7,IF($F71="CVL",'Fleet Tech - Tech'!D$8,IF($F71="CV",'Fleet Tech - Tech'!D$9,IF($F71="SS",'Fleet Tech - Tech'!D$10,IF($F71="BBV",'Fleet Tech - Tech'!D$11,IF($F71="CB",'Fleet Tech - Tech'!D$15,IF($F71="AE",'Fleet Tech - Tech'!D$16,IF($F71="IX",'Fleet Tech - Tech'!D$17,IF($F71="BM",'Fleet Tech - Tech'!D$13,IF($F71="AR",'Fleet Tech - Tech'!D$12,IF($F71="SSV",'Fleet Tech - Tech'!D$14,"nil"))))))))))))))),0)</f>
        <v>0</v>
      </c>
      <c r="AX71" s="12">
        <f>IF($H71=3,IF(OR($F71="DDV",$F71="DDG",$F71="DD"),'Fleet Tech - Tech'!E$3,IF($F71="CL",'Fleet Tech - Tech'!E$4,IF($F71="CA",'Fleet Tech - Tech'!E$5,IF($F71="BC",'Fleet Tech - Tech'!E$6,IF($F71="BB",'Fleet Tech - Tech'!E$7,IF($F71="CVL",'Fleet Tech - Tech'!E$8,IF($F71="CV",'Fleet Tech - Tech'!E$9,IF($F71="SS",'Fleet Tech - Tech'!E$10,IF($F71="BBV",'Fleet Tech - Tech'!E$11,IF($F71="CB",'Fleet Tech - Tech'!E$15,IF($F71="AE",'Fleet Tech - Tech'!E$16,IF($F71="IX",'Fleet Tech - Tech'!E$17,IF($F71="BM",'Fleet Tech - Tech'!E$13,IF($F71="AR",'Fleet Tech - Tech'!E$12,IF($F71="SSV",'Fleet Tech - Tech'!E$14,"nil"))))))))))))))),0)</f>
        <v>0</v>
      </c>
      <c r="AY71" s="12">
        <f>IF($H71=3,IF(OR($F71="DDV",$F71="DDG",$F71="DD"),'Fleet Tech - Tech'!F$3,IF($F71="CL",'Fleet Tech - Tech'!F$4,IF($F71="CA",'Fleet Tech - Tech'!F$5,IF($F71="BC",'Fleet Tech - Tech'!F$6,IF($F71="BB",'Fleet Tech - Tech'!F$7,IF($F71="CVL",'Fleet Tech - Tech'!F$8,IF($F71="CV",'Fleet Tech - Tech'!F$9,IF($F71="SS",'Fleet Tech - Tech'!F$10,IF($F71="BBV",'Fleet Tech - Tech'!F$11,IF($F71="CB",'Fleet Tech - Tech'!F$15,IF($F71="AE",'Fleet Tech - Tech'!F$16,IF($F71="IX",'Fleet Tech - Tech'!F$17,IF($F71="BM",'Fleet Tech - Tech'!F$13,IF($F71="AR",'Fleet Tech - Tech'!F$12,IF($F71="SSV",'Fleet Tech - Tech'!F$14,"nil"))))))))))))))),0)</f>
        <v>0</v>
      </c>
      <c r="AZ71" s="12">
        <f>IF($H71=3,IF(OR($F71="DDV",$F71="DDG",$F71="DD"),'Fleet Tech - Tech'!G$3,IF($F71="CL",'Fleet Tech - Tech'!G$4,IF($F71="CA",'Fleet Tech - Tech'!G$5,IF($F71="BC",'Fleet Tech - Tech'!G$6,IF($F71="BB",'Fleet Tech - Tech'!G$7,IF($F71="CVL",'Fleet Tech - Tech'!G$8,IF($F71="CV",'Fleet Tech - Tech'!G$9,IF($F71="SS",'Fleet Tech - Tech'!G$10,IF($F71="BBV",'Fleet Tech - Tech'!G$11,IF($F71="CB",'Fleet Tech - Tech'!G$15,IF($F71="AE",'Fleet Tech - Tech'!G$16,IF($F71="IX",'Fleet Tech - Tech'!G$17,IF($F71="BM",'Fleet Tech - Tech'!G$13,IF($F71="AR",'Fleet Tech - Tech'!G$12,IF($F71="SSV",'Fleet Tech - Tech'!G$14,"nil"))))))))))))))),0)</f>
        <v>0</v>
      </c>
      <c r="BA71" s="12">
        <f>IF($H71=3,IF(OR($F71="DDV",$F71="DDG",$F71="DD"),'Fleet Tech - Tech'!H$3,IF($F71="CL",'Fleet Tech - Tech'!H$4,IF($F71="CA",'Fleet Tech - Tech'!H$5,IF($F71="BC",'Fleet Tech - Tech'!H$6,IF($F71="BB",'Fleet Tech - Tech'!H$7,IF($F71="CVL",'Fleet Tech - Tech'!H$8,IF($F71="CV",'Fleet Tech - Tech'!H$9,IF($F71="SS",'Fleet Tech - Tech'!H$10,IF($F71="BBV",'Fleet Tech - Tech'!H$11,IF($F71="CB",'Fleet Tech - Tech'!H$15,IF($F71="AE",'Fleet Tech - Tech'!H$16,IF($F71="IX",'Fleet Tech - Tech'!H$17,IF($F71="BM",'Fleet Tech - Tech'!H$13,IF($F71="AR",'Fleet Tech - Tech'!H$12,IF($F71="SSV",'Fleet Tech - Tech'!H$14,"nil"))))))))))))))),0)</f>
        <v>0</v>
      </c>
      <c r="BB71" s="12">
        <f>IF($H71=3,IF(OR($F71="DDV",$F71="DDG",$F71="DD"),'Fleet Tech - Tech'!I$3,IF($F71="CL",'Fleet Tech - Tech'!I$4,IF($F71="CA",'Fleet Tech - Tech'!I$5,IF($F71="BC",'Fleet Tech - Tech'!I$6,IF($F71="BB",'Fleet Tech - Tech'!I$7,IF($F71="CVL",'Fleet Tech - Tech'!I$8,IF($F71="CV",'Fleet Tech - Tech'!I$9,IF($F71="SS",'Fleet Tech - Tech'!I$10,IF($F71="BBV",'Fleet Tech - Tech'!I$11,IF($F71="CB",'Fleet Tech - Tech'!I$15,IF($F71="AE",'Fleet Tech - Tech'!I$16,IF($F71="IX",'Fleet Tech - Tech'!I$17,IF($F71="BM",'Fleet Tech - Tech'!I$13,IF($F71="AR",'Fleet Tech - Tech'!I$12,IF($F71="SSV",'Fleet Tech - Tech'!I$14,"nil"))))))))))))))),0)</f>
        <v>0</v>
      </c>
      <c r="BC71" s="12">
        <f>IF($H71=3,IF(OR($F71="DDV",$F71="DDG",$F71="DD"),'Fleet Tech - Tech'!J$3,IF($F71="CL",'Fleet Tech - Tech'!J$4,IF($F71="CA",'Fleet Tech - Tech'!J$5,IF($F71="BC",'Fleet Tech - Tech'!J$6,IF($F71="BB",'Fleet Tech - Tech'!J$7,IF($F71="CVL",'Fleet Tech - Tech'!J$8,IF($F71="CV",'Fleet Tech - Tech'!J$9,IF($F71="SS",'Fleet Tech - Tech'!J$10,IF($F71="BBV",'Fleet Tech - Tech'!J$11,IF($F71="CB",'Fleet Tech - Tech'!J$15,IF($F71="AE",'Fleet Tech - Tech'!J$16,IF($F71="IX",'Fleet Tech - Tech'!J$17,IF($F71="BM",'Fleet Tech - Tech'!J$13,IF($F71="AR",'Fleet Tech - Tech'!J$12,IF($F71="SSV",'Fleet Tech - Tech'!J$14,"nil"))))))))))))))),0)</f>
        <v>0</v>
      </c>
      <c r="BD71" s="12">
        <f>IF($H71=3,IF(OR($F71="DDV",$F71="DDG",$F71="DD"),'Fleet Tech - Tech'!K$3,IF($F71="CL",'Fleet Tech - Tech'!K$4,IF($F71="CA",'Fleet Tech - Tech'!K$5,IF($F71="BC",'Fleet Tech - Tech'!K$6,IF($F71="BB",'Fleet Tech - Tech'!K$7,IF($F71="CVL",'Fleet Tech - Tech'!K$8,IF($F71="CV",'Fleet Tech - Tech'!K$9,IF($F71="SS",'Fleet Tech - Tech'!K$10,IF($F71="BBV",'Fleet Tech - Tech'!K$11,IF($F71="CB",'Fleet Tech - Tech'!K$15,IF($F71="AE",'Fleet Tech - Tech'!K$16,IF($F71="IX",'Fleet Tech - Tech'!K$17,IF($F71="BM",'Fleet Tech - Tech'!K$13,IF($F71="AR",'Fleet Tech - Tech'!K$12,IF($F71="SSV",'Fleet Tech - Tech'!K$14,"nil"))))))))))))))),0)</f>
        <v>0</v>
      </c>
      <c r="BE71" s="12">
        <f>IF($H71=3,IF(OR($F71="DDV",$F71="DDG",$F71="DD"),'Fleet Tech - Tech'!L$3,IF($F71="CL",'Fleet Tech - Tech'!L$4,IF($F71="CA",'Fleet Tech - Tech'!L$5,IF($F71="BC",'Fleet Tech - Tech'!L$6,IF($F71="BB",'Fleet Tech - Tech'!L$7,IF($F71="CVL",'Fleet Tech - Tech'!L$8,IF($F71="CV",'Fleet Tech - Tech'!L$9,IF($F71="SS",'Fleet Tech - Tech'!L$10,IF($F71="BBV",'Fleet Tech - Tech'!L$11,IF($F71="CB",'Fleet Tech - Tech'!L$15,IF($F71="AE",'Fleet Tech - Tech'!L$16,IF($F71="IX",'Fleet Tech - Tech'!L$17,IF($F71="BM",'Fleet Tech - Tech'!L$13,IF($F71="AR",'Fleet Tech - Tech'!L$12,IF($F71="SSV",'Fleet Tech - Tech'!L$14,"nil"))))))))))))))),0)</f>
        <v>0</v>
      </c>
      <c r="BF71" s="12">
        <f>IF($H71=3,IF(OR($F71="DDV",$F71="DDG",$F71="DD"),'Fleet Tech - Tech'!M$3,IF($F71="CL",'Fleet Tech - Tech'!M$4,IF($F71="CA",'Fleet Tech - Tech'!M$5,IF($F71="BC",'Fleet Tech - Tech'!M$6,IF($F71="BB",'Fleet Tech - Tech'!M$7,IF($F71="CVL",'Fleet Tech - Tech'!M$8,IF($F71="CV",'Fleet Tech - Tech'!M$9,IF($F71="SS",'Fleet Tech - Tech'!M$10,IF($F71="BBV",'Fleet Tech - Tech'!M$11,IF($F71="CB",'Fleet Tech - Tech'!M$15,IF($F71="AE",'Fleet Tech - Tech'!M$16,IF($F71="IX",'Fleet Tech - Tech'!M$17,IF($F71="BM",'Fleet Tech - Tech'!M$13,IF($F71="AR",'Fleet Tech - Tech'!M$12,IF($F71="SSV",'Fleet Tech - Tech'!M$14,"nil"))))))))))))))),0)</f>
        <v>0</v>
      </c>
      <c r="BG71" s="12">
        <f>IF($H71=3,IF(OR($F71="DDV",$F71="DDG",$F71="DD"),'Fleet Tech - Tech'!N$3,IF($F71="CL",'Fleet Tech - Tech'!N$4,IF($F71="CA",'Fleet Tech - Tech'!N$5,IF($F71="BC",'Fleet Tech - Tech'!N$6,IF($F71="BB",'Fleet Tech - Tech'!N$7,IF($F71="CVL",'Fleet Tech - Tech'!N$8,IF($F71="CV",'Fleet Tech - Tech'!N$9,IF($F71="SS",'Fleet Tech - Tech'!N$10,IF($F71="BBV",'Fleet Tech - Tech'!N$11,IF($F71="CB",'Fleet Tech - Tech'!N$15,IF($F71="AE",'Fleet Tech - Tech'!N$16,IF($F71="IX",'Fleet Tech - Tech'!N$17,IF($F71="BM",'Fleet Tech - Tech'!N$13,IF($F71="AR",'Fleet Tech - Tech'!N$12,IF($F71="SSV",'Fleet Tech - Tech'!N$14,"nil"))))))))))))))),0)</f>
        <v>0</v>
      </c>
      <c r="BH71" s="28"/>
      <c r="BI71" s="28"/>
      <c r="BJ71" s="28"/>
      <c r="BK71" s="28"/>
      <c r="BL71" s="28"/>
      <c r="BM71" s="28"/>
      <c r="BN71" s="28"/>
      <c r="BO71" s="28"/>
      <c r="BP71" s="28"/>
      <c r="BQ71" s="28"/>
      <c r="BR71" s="28"/>
      <c r="BS71" s="28"/>
      <c r="BT71" s="28"/>
      <c r="BU71" s="28"/>
      <c r="BV71" s="28"/>
      <c r="BW71" s="28"/>
      <c r="BX71" s="12">
        <v>-1</v>
      </c>
      <c r="BY71" s="12">
        <v>-1</v>
      </c>
      <c r="BZ71" s="12">
        <v>-1</v>
      </c>
      <c r="CA71" s="12">
        <v>-1</v>
      </c>
      <c r="CB71" s="12">
        <v>-1</v>
      </c>
      <c r="CC71" s="12">
        <v>-1</v>
      </c>
      <c r="CD71" s="12">
        <v>-1</v>
      </c>
      <c r="CE71" s="12">
        <v>-1</v>
      </c>
      <c r="CF71" s="12">
        <v>-1</v>
      </c>
      <c r="CG71" s="12">
        <v>-1</v>
      </c>
      <c r="CH71" s="12">
        <v>-1</v>
      </c>
      <c r="CI71" s="12">
        <v>-1</v>
      </c>
      <c r="CJ71" s="47"/>
      <c r="CK71" s="48">
        <f>IF(BX71=5,320,IF(BX71=4,195,IF(BX71=3,132,IF(BX71=2,90,IF(BX71=1,58,IF(BX71=-1,0,35))))))</f>
        <v>0</v>
      </c>
      <c r="CL71" s="48">
        <f>IF(BX71=5,20,IF(BX71=4,15,IF(BX71=3,12,IF(BX71=2,10,IF(BX71=1,8,IF(BX71=-1,0,5))))))</f>
        <v>0</v>
      </c>
      <c r="CM71" s="48">
        <f>IF(BZ71=5,320,IF(BZ71=4,195,IF(BZ71=3,132,IF(BZ71=2,90,IF(BZ71=1,58,IF(BZ71=-1,0,35))))))</f>
        <v>0</v>
      </c>
      <c r="CN71" s="48">
        <f>IF(BZ71=5,20,IF(BZ71=4,15,IF(BZ71=3,12,IF(BZ71=2,10,IF(BZ71=1,8,IF(BZ71=-1,0,5))))))</f>
        <v>0</v>
      </c>
      <c r="CO71" s="48">
        <f>IF(CB71=5,320,IF(CB71=4,195,IF(CB71=3,132,IF(CB71=2,90,IF(CB71=1,58,IF(CB71=-1,0,35))))))</f>
        <v>0</v>
      </c>
      <c r="CP71" s="48">
        <f>IF(CB71=5,20,IF(CB71=4,15,IF(CB71=3,12,IF(CB71=2,10,IF(CB71=1,8,IF(CB71=-1,0,5))))))</f>
        <v>0</v>
      </c>
      <c r="CQ71" s="48">
        <f>IF(CD71=5,320,IF(CD71=4,195,IF(CD71=3,132,IF(CD71=2,90,IF(CD71=1,58,IF(CD71=-1,0,35))))))</f>
        <v>0</v>
      </c>
      <c r="CR71" s="48">
        <f>IF(CD71=5,20,IF(CD71=4,15,IF(CD71=3,12,IF(CD71=2,10,IF(CD71=1,8,IF(CD71=-1,0,5))))))</f>
        <v>0</v>
      </c>
      <c r="CS71" s="48">
        <f>IF(CF71=5,320,IF(CF71=4,195,IF(CF71=3,132,IF(CF71=2,90,IF(CF71=1,58,IF(CF71=-1,0,35))))))</f>
        <v>0</v>
      </c>
      <c r="CT71" s="48">
        <f>IF(CF71=5,20,IF(CF71=4,15,IF(CF71=3,12,IF(CF71=2,10,IF(CF71=1,8,IF(CF71=-1,0,5))))))</f>
        <v>0</v>
      </c>
      <c r="CU71" s="48">
        <f>IF(CH71=5,320,IF(CH71=4,195,IF(CH71=3,132,IF(CH71=2,90,IF(CH71=1,58,IF(CH71=-1,0,35))))))</f>
        <v>0</v>
      </c>
      <c r="CV71" s="48">
        <f>IF(CH71=5,20,IF(CH71=4,15,IF(CH71=3,12,IF(CH71=2,10,IF(CH71=1,8,IF(CH71=-1,0,5))))))</f>
        <v>0</v>
      </c>
      <c r="CW71" s="48">
        <f>IF(BY71&gt;10,(BY71/10)-ROUNDDOWN(BY71/10,0),0)+IF(CA71&gt;10,(CA71/10)-ROUNDDOWN(CA71/10,0),0)+IF(CC71&gt;10,(CC71/10)-ROUNDDOWN(CC71/10,0),0)+IF(CE71&gt;10,(CE71/10)-ROUNDDOWN(CE71/10,0),0)+IF(CG71&gt;10,(CG71/10)-ROUNDDOWN(CG71/10,0),0)+IF(CI71&gt;10,(CI71/10)-ROUNDDOWN(CI71/10,0),0)</f>
        <v>0</v>
      </c>
      <c r="CX71" s="48">
        <f>1+(CW71/10)</f>
        <v>1</v>
      </c>
    </row>
    <row r="72" ht="20.05" customHeight="1">
      <c r="A72" t="s" s="43">
        <v>350</v>
      </c>
      <c r="B72" s="49"/>
      <c r="C72" t="s" s="45">
        <v>279</v>
      </c>
      <c r="D72" s="13">
        <v>7</v>
      </c>
      <c r="E72" t="s" s="15">
        <v>240</v>
      </c>
      <c r="F72" t="s" s="15">
        <v>313</v>
      </c>
      <c r="G72" t="s" s="15">
        <v>282</v>
      </c>
      <c r="H72" s="12">
        <v>2</v>
      </c>
      <c r="I72" t="s" s="15">
        <v>351</v>
      </c>
      <c r="J72" s="12">
        <v>69</v>
      </c>
      <c r="K72" t="s" s="14">
        <v>236</v>
      </c>
      <c r="L72" t="s" s="15">
        <v>247</v>
      </c>
      <c r="M72" t="s" s="15">
        <v>248</v>
      </c>
      <c r="N72" s="46">
        <f>ROUND((SUM(AA72,T72:Y72,AC72:AE72,Z72*10)-AB72*15)*(IF(K72="Heavy",0.15,IF(K72="Medium",0,IF(K72="Light",-0.15,10)))+1),0)</f>
        <v>485</v>
      </c>
      <c r="O72" s="46">
        <v>2229</v>
      </c>
      <c r="P72" s="46">
        <f>ROUNDDOWN((BI72+AU72+AG72)/5,0)+(BJ72+AV72+AH72)+(BN72+AZ72+AL72)+(BO72+BA72+AM72)+(BK72+AW72+AI72)+(BS72+BE72+AQ72)+(BL72+AX72+AJ72)+(BQ72+BC72+AO72)+(2*((BT72+BF72+AR72)+(BU72+BG72+AS72)))+(CK72+CM72+CO72+CQ72+CS72+CU72)+(CL72*BY72)+(CN72*CA72)+(CP72+CC72)+(CR72+CE72)+(CT72+CG72)+(CV72+CI72)+BV72</f>
        <v>1672</v>
      </c>
      <c r="Q72" s="46">
        <f>ROUNDDOWN(((S72/5)+T72+X72+Y72+U72+AC72+V72+AA72+(2*(AD72+AE72))+CK72+CM72+CO72+CQ72+CS72+CU72+(CL72*BX72)+(CN72*BZ72)+(CP72*CB72)+(CR72*CD72)+(CT72*CF72)+(CV72*CH72))*CX72,0)</f>
        <v>1341</v>
      </c>
      <c r="R72" s="46">
        <f>ROUNDDOWN(AVERAGE(P72:Q72),0)</f>
        <v>1506</v>
      </c>
      <c r="S72" s="12">
        <f>AG72+AU72+BI72</f>
        <v>2978</v>
      </c>
      <c r="T72" s="12">
        <f>AH72+AV72+BJ72</f>
        <v>242</v>
      </c>
      <c r="U72" s="12">
        <f>AI72+AW72+BK72</f>
        <v>140</v>
      </c>
      <c r="V72" s="12">
        <f>AJ72+AX72+BL72</f>
        <v>0</v>
      </c>
      <c r="W72" s="12">
        <f>AK72+AY72+BM72</f>
        <v>91</v>
      </c>
      <c r="X72" s="12">
        <f>AL72+AZ72+BN72</f>
        <v>0</v>
      </c>
      <c r="Y72" s="12">
        <f>AM72+BA72+BO72</f>
        <v>0</v>
      </c>
      <c r="Z72" s="12">
        <f>AN72+BB72+BP72</f>
        <v>0</v>
      </c>
      <c r="AA72" s="12">
        <f>AO72+BC72+BQ72</f>
        <v>12</v>
      </c>
      <c r="AB72" s="12">
        <f>AP72+BD72+BR72</f>
        <v>10</v>
      </c>
      <c r="AC72" s="12">
        <f>AQ72+BE72+BS72</f>
        <v>120</v>
      </c>
      <c r="AD72" s="12">
        <f>AR72+BF72+BT72</f>
        <v>49</v>
      </c>
      <c r="AE72" s="12">
        <f>AS72+BG72+BU72</f>
        <v>67</v>
      </c>
      <c r="AF72" s="28"/>
      <c r="AG72" s="12">
        <v>430</v>
      </c>
      <c r="AH72" s="12">
        <v>50</v>
      </c>
      <c r="AI72" s="12">
        <v>25</v>
      </c>
      <c r="AJ72" s="28"/>
      <c r="AK72" s="28"/>
      <c r="AL72" s="28"/>
      <c r="AM72" s="28"/>
      <c r="AN72" s="28"/>
      <c r="AO72" s="28"/>
      <c r="AP72" s="28"/>
      <c r="AQ72" s="28"/>
      <c r="AR72" s="28"/>
      <c r="AS72" s="28"/>
      <c r="AT72" s="28"/>
      <c r="AU72" s="12">
        <f>IF($H72=3,IF(OR($F72="DDV",$F72="DDG",$F72="DD"),'Fleet Tech - Tech'!B$3,IF($F72="CL",'Fleet Tech - Tech'!B$4,IF($F72="CA",'Fleet Tech - Tech'!B$5,IF($F72="BC",'Fleet Tech - Tech'!B$6,IF($F72="BB",'Fleet Tech - Tech'!B$7,IF($F72="CVL",'Fleet Tech - Tech'!B$8,IF($F72="CV",'Fleet Tech - Tech'!B$9,IF($F72="SS",'Fleet Tech - Tech'!B$10,IF($F72="BBV",'Fleet Tech - Tech'!B$11,IF($F72="CB",'Fleet Tech - Tech'!B$15,IF($F72="AE",'Fleet Tech - Tech'!B$16,IF($F72="IX",'Fleet Tech - Tech'!B$17,IF($F72="BM",'Fleet Tech - Tech'!B$13,IF($F72="AR",'Fleet Tech - Tech'!B$12,IF($F72="SSV",'Fleet Tech - Tech'!B$14,"nil"))))))))))))))),0)</f>
        <v>0</v>
      </c>
      <c r="AV72" s="12">
        <f>IF($H72=3,IF(OR($F72="DDV",$F72="DDG",$F72="DD"),'Fleet Tech - Tech'!C$3,IF($F72="CL",'Fleet Tech - Tech'!C$4,IF($F72="CA",'Fleet Tech - Tech'!C$5,IF($F72="BC",'Fleet Tech - Tech'!C$6,IF($F72="BB",'Fleet Tech - Tech'!C$7,IF($F72="CVL",'Fleet Tech - Tech'!C$8,IF($F72="CV",'Fleet Tech - Tech'!C$9,IF($F72="SS",'Fleet Tech - Tech'!C$10,IF($F72="BBV",'Fleet Tech - Tech'!C$11,IF($F72="CB",'Fleet Tech - Tech'!C$15,IF($F72="AE",'Fleet Tech - Tech'!C$16,IF($F72="IX",'Fleet Tech - Tech'!C$17,IF($F72="BM",'Fleet Tech - Tech'!C$13,IF($F72="AR",'Fleet Tech - Tech'!C$12,IF($F72="SSV",'Fleet Tech - Tech'!C$14,"nil"))))))))))))))),0)</f>
        <v>0</v>
      </c>
      <c r="AW72" s="12">
        <f>IF($H72=3,IF(OR($F72="DDV",$F72="DDG",$F72="DD"),'Fleet Tech - Tech'!D$3,IF($F72="CL",'Fleet Tech - Tech'!D$4,IF($F72="CA",'Fleet Tech - Tech'!D$5,IF($F72="BC",'Fleet Tech - Tech'!D$6,IF($F72="BB",'Fleet Tech - Tech'!D$7,IF($F72="CVL",'Fleet Tech - Tech'!D$8,IF($F72="CV",'Fleet Tech - Tech'!D$9,IF($F72="SS",'Fleet Tech - Tech'!D$10,IF($F72="BBV",'Fleet Tech - Tech'!D$11,IF($F72="CB",'Fleet Tech - Tech'!D$15,IF($F72="AE",'Fleet Tech - Tech'!D$16,IF($F72="IX",'Fleet Tech - Tech'!D$17,IF($F72="BM",'Fleet Tech - Tech'!D$13,IF($F72="AR",'Fleet Tech - Tech'!D$12,IF($F72="SSV",'Fleet Tech - Tech'!D$14,"nil"))))))))))))))),0)</f>
        <v>0</v>
      </c>
      <c r="AX72" s="12">
        <f>IF($H72=3,IF(OR($F72="DDV",$F72="DDG",$F72="DD"),'Fleet Tech - Tech'!E$3,IF($F72="CL",'Fleet Tech - Tech'!E$4,IF($F72="CA",'Fleet Tech - Tech'!E$5,IF($F72="BC",'Fleet Tech - Tech'!E$6,IF($F72="BB",'Fleet Tech - Tech'!E$7,IF($F72="CVL",'Fleet Tech - Tech'!E$8,IF($F72="CV",'Fleet Tech - Tech'!E$9,IF($F72="SS",'Fleet Tech - Tech'!E$10,IF($F72="BBV",'Fleet Tech - Tech'!E$11,IF($F72="CB",'Fleet Tech - Tech'!E$15,IF($F72="AE",'Fleet Tech - Tech'!E$16,IF($F72="IX",'Fleet Tech - Tech'!E$17,IF($F72="BM",'Fleet Tech - Tech'!E$13,IF($F72="AR",'Fleet Tech - Tech'!E$12,IF($F72="SSV",'Fleet Tech - Tech'!E$14,"nil"))))))))))))))),0)</f>
        <v>0</v>
      </c>
      <c r="AY72" s="12">
        <f>IF($H72=3,IF(OR($F72="DDV",$F72="DDG",$F72="DD"),'Fleet Tech - Tech'!F$3,IF($F72="CL",'Fleet Tech - Tech'!F$4,IF($F72="CA",'Fleet Tech - Tech'!F$5,IF($F72="BC",'Fleet Tech - Tech'!F$6,IF($F72="BB",'Fleet Tech - Tech'!F$7,IF($F72="CVL",'Fleet Tech - Tech'!F$8,IF($F72="CV",'Fleet Tech - Tech'!F$9,IF($F72="SS",'Fleet Tech - Tech'!F$10,IF($F72="BBV",'Fleet Tech - Tech'!F$11,IF($F72="CB",'Fleet Tech - Tech'!F$15,IF($F72="AE",'Fleet Tech - Tech'!F$16,IF($F72="IX",'Fleet Tech - Tech'!F$17,IF($F72="BM",'Fleet Tech - Tech'!F$13,IF($F72="AR",'Fleet Tech - Tech'!F$12,IF($F72="SSV",'Fleet Tech - Tech'!F$14,"nil"))))))))))))))),0)</f>
        <v>0</v>
      </c>
      <c r="AZ72" s="12">
        <f>IF($H72=3,IF(OR($F72="DDV",$F72="DDG",$F72="DD"),'Fleet Tech - Tech'!G$3,IF($F72="CL",'Fleet Tech - Tech'!G$4,IF($F72="CA",'Fleet Tech - Tech'!G$5,IF($F72="BC",'Fleet Tech - Tech'!G$6,IF($F72="BB",'Fleet Tech - Tech'!G$7,IF($F72="CVL",'Fleet Tech - Tech'!G$8,IF($F72="CV",'Fleet Tech - Tech'!G$9,IF($F72="SS",'Fleet Tech - Tech'!G$10,IF($F72="BBV",'Fleet Tech - Tech'!G$11,IF($F72="CB",'Fleet Tech - Tech'!G$15,IF($F72="AE",'Fleet Tech - Tech'!G$16,IF($F72="IX",'Fleet Tech - Tech'!G$17,IF($F72="BM",'Fleet Tech - Tech'!G$13,IF($F72="AR",'Fleet Tech - Tech'!G$12,IF($F72="SSV",'Fleet Tech - Tech'!G$14,"nil"))))))))))))))),0)</f>
        <v>0</v>
      </c>
      <c r="BA72" s="12">
        <f>IF($H72=3,IF(OR($F72="DDV",$F72="DDG",$F72="DD"),'Fleet Tech - Tech'!H$3,IF($F72="CL",'Fleet Tech - Tech'!H$4,IF($F72="CA",'Fleet Tech - Tech'!H$5,IF($F72="BC",'Fleet Tech - Tech'!H$6,IF($F72="BB",'Fleet Tech - Tech'!H$7,IF($F72="CVL",'Fleet Tech - Tech'!H$8,IF($F72="CV",'Fleet Tech - Tech'!H$9,IF($F72="SS",'Fleet Tech - Tech'!H$10,IF($F72="BBV",'Fleet Tech - Tech'!H$11,IF($F72="CB",'Fleet Tech - Tech'!H$15,IF($F72="AE",'Fleet Tech - Tech'!H$16,IF($F72="IX",'Fleet Tech - Tech'!H$17,IF($F72="BM",'Fleet Tech - Tech'!H$13,IF($F72="AR",'Fleet Tech - Tech'!H$12,IF($F72="SSV",'Fleet Tech - Tech'!H$14,"nil"))))))))))))))),0)</f>
        <v>0</v>
      </c>
      <c r="BB72" s="12">
        <f>IF($H72=3,IF(OR($F72="DDV",$F72="DDG",$F72="DD"),'Fleet Tech - Tech'!I$3,IF($F72="CL",'Fleet Tech - Tech'!I$4,IF($F72="CA",'Fleet Tech - Tech'!I$5,IF($F72="BC",'Fleet Tech - Tech'!I$6,IF($F72="BB",'Fleet Tech - Tech'!I$7,IF($F72="CVL",'Fleet Tech - Tech'!I$8,IF($F72="CV",'Fleet Tech - Tech'!I$9,IF($F72="SS",'Fleet Tech - Tech'!I$10,IF($F72="BBV",'Fleet Tech - Tech'!I$11,IF($F72="CB",'Fleet Tech - Tech'!I$15,IF($F72="AE",'Fleet Tech - Tech'!I$16,IF($F72="IX",'Fleet Tech - Tech'!I$17,IF($F72="BM",'Fleet Tech - Tech'!I$13,IF($F72="AR",'Fleet Tech - Tech'!I$12,IF($F72="SSV",'Fleet Tech - Tech'!I$14,"nil"))))))))))))))),0)</f>
        <v>0</v>
      </c>
      <c r="BC72" s="12">
        <f>IF($H72=3,IF(OR($F72="DDV",$F72="DDG",$F72="DD"),'Fleet Tech - Tech'!J$3,IF($F72="CL",'Fleet Tech - Tech'!J$4,IF($F72="CA",'Fleet Tech - Tech'!J$5,IF($F72="BC",'Fleet Tech - Tech'!J$6,IF($F72="BB",'Fleet Tech - Tech'!J$7,IF($F72="CVL",'Fleet Tech - Tech'!J$8,IF($F72="CV",'Fleet Tech - Tech'!J$9,IF($F72="SS",'Fleet Tech - Tech'!J$10,IF($F72="BBV",'Fleet Tech - Tech'!J$11,IF($F72="CB",'Fleet Tech - Tech'!J$15,IF($F72="AE",'Fleet Tech - Tech'!J$16,IF($F72="IX",'Fleet Tech - Tech'!J$17,IF($F72="BM",'Fleet Tech - Tech'!J$13,IF($F72="AR",'Fleet Tech - Tech'!J$12,IF($F72="SSV",'Fleet Tech - Tech'!J$14,"nil"))))))))))))))),0)</f>
        <v>0</v>
      </c>
      <c r="BD72" s="12">
        <f>IF($H72=3,IF(OR($F72="DDV",$F72="DDG",$F72="DD"),'Fleet Tech - Tech'!K$3,IF($F72="CL",'Fleet Tech - Tech'!K$4,IF($F72="CA",'Fleet Tech - Tech'!K$5,IF($F72="BC",'Fleet Tech - Tech'!K$6,IF($F72="BB",'Fleet Tech - Tech'!K$7,IF($F72="CVL",'Fleet Tech - Tech'!K$8,IF($F72="CV",'Fleet Tech - Tech'!K$9,IF($F72="SS",'Fleet Tech - Tech'!K$10,IF($F72="BBV",'Fleet Tech - Tech'!K$11,IF($F72="CB",'Fleet Tech - Tech'!K$15,IF($F72="AE",'Fleet Tech - Tech'!K$16,IF($F72="IX",'Fleet Tech - Tech'!K$17,IF($F72="BM",'Fleet Tech - Tech'!K$13,IF($F72="AR",'Fleet Tech - Tech'!K$12,IF($F72="SSV",'Fleet Tech - Tech'!K$14,"nil"))))))))))))))),0)</f>
        <v>0</v>
      </c>
      <c r="BE72" s="12">
        <f>IF($H72=3,IF(OR($F72="DDV",$F72="DDG",$F72="DD"),'Fleet Tech - Tech'!L$3,IF($F72="CL",'Fleet Tech - Tech'!L$4,IF($F72="CA",'Fleet Tech - Tech'!L$5,IF($F72="BC",'Fleet Tech - Tech'!L$6,IF($F72="BB",'Fleet Tech - Tech'!L$7,IF($F72="CVL",'Fleet Tech - Tech'!L$8,IF($F72="CV",'Fleet Tech - Tech'!L$9,IF($F72="SS",'Fleet Tech - Tech'!L$10,IF($F72="BBV",'Fleet Tech - Tech'!L$11,IF($F72="CB",'Fleet Tech - Tech'!L$15,IF($F72="AE",'Fleet Tech - Tech'!L$16,IF($F72="IX",'Fleet Tech - Tech'!L$17,IF($F72="BM",'Fleet Tech - Tech'!L$13,IF($F72="AR",'Fleet Tech - Tech'!L$12,IF($F72="SSV",'Fleet Tech - Tech'!L$14,"nil"))))))))))))))),0)</f>
        <v>0</v>
      </c>
      <c r="BF72" s="12">
        <f>IF($H72=3,IF(OR($F72="DDV",$F72="DDG",$F72="DD"),'Fleet Tech - Tech'!M$3,IF($F72="CL",'Fleet Tech - Tech'!M$4,IF($F72="CA",'Fleet Tech - Tech'!M$5,IF($F72="BC",'Fleet Tech - Tech'!M$6,IF($F72="BB",'Fleet Tech - Tech'!M$7,IF($F72="CVL",'Fleet Tech - Tech'!M$8,IF($F72="CV",'Fleet Tech - Tech'!M$9,IF($F72="SS",'Fleet Tech - Tech'!M$10,IF($F72="BBV",'Fleet Tech - Tech'!M$11,IF($F72="CB",'Fleet Tech - Tech'!M$15,IF($F72="AE",'Fleet Tech - Tech'!M$16,IF($F72="IX",'Fleet Tech - Tech'!M$17,IF($F72="BM",'Fleet Tech - Tech'!M$13,IF($F72="AR",'Fleet Tech - Tech'!M$12,IF($F72="SSV",'Fleet Tech - Tech'!M$14,"nil"))))))))))))))),0)</f>
        <v>0</v>
      </c>
      <c r="BG72" s="12">
        <f>IF($H72=3,IF(OR($F72="DDV",$F72="DDG",$F72="DD"),'Fleet Tech - Tech'!N$3,IF($F72="CL",'Fleet Tech - Tech'!N$4,IF($F72="CA",'Fleet Tech - Tech'!N$5,IF($F72="BC",'Fleet Tech - Tech'!N$6,IF($F72="BB",'Fleet Tech - Tech'!N$7,IF($F72="CVL",'Fleet Tech - Tech'!N$8,IF($F72="CV",'Fleet Tech - Tech'!N$9,IF($F72="SS",'Fleet Tech - Tech'!N$10,IF($F72="BBV",'Fleet Tech - Tech'!N$11,IF($F72="CB",'Fleet Tech - Tech'!N$15,IF($F72="AE",'Fleet Tech - Tech'!N$16,IF($F72="IX",'Fleet Tech - Tech'!N$17,IF($F72="BM",'Fleet Tech - Tech'!N$13,IF($F72="AR",'Fleet Tech - Tech'!N$12,IF($F72="SSV",'Fleet Tech - Tech'!N$14,"nil"))))))))))))))),0)</f>
        <v>0</v>
      </c>
      <c r="BH72" s="28"/>
      <c r="BI72" s="12">
        <v>2548</v>
      </c>
      <c r="BJ72" s="12">
        <v>192</v>
      </c>
      <c r="BK72" s="12">
        <v>115</v>
      </c>
      <c r="BL72" s="28"/>
      <c r="BM72" s="12">
        <v>91</v>
      </c>
      <c r="BN72" s="28"/>
      <c r="BO72" s="28"/>
      <c r="BP72" s="28"/>
      <c r="BQ72" s="12">
        <v>12</v>
      </c>
      <c r="BR72" s="12">
        <v>10</v>
      </c>
      <c r="BS72" s="12">
        <v>120</v>
      </c>
      <c r="BT72" s="12">
        <v>49</v>
      </c>
      <c r="BU72" s="12">
        <v>67</v>
      </c>
      <c r="BV72" s="12">
        <v>335</v>
      </c>
      <c r="BW72" s="28"/>
      <c r="BX72" s="12">
        <v>-1</v>
      </c>
      <c r="BY72" s="12">
        <v>-1</v>
      </c>
      <c r="BZ72" s="12">
        <v>-1</v>
      </c>
      <c r="CA72" s="12">
        <v>-1</v>
      </c>
      <c r="CB72" s="12">
        <v>-1</v>
      </c>
      <c r="CC72" s="12">
        <v>-1</v>
      </c>
      <c r="CD72" s="12">
        <v>-1</v>
      </c>
      <c r="CE72" s="12">
        <v>-1</v>
      </c>
      <c r="CF72" s="12">
        <v>-1</v>
      </c>
      <c r="CG72" s="12">
        <v>-1</v>
      </c>
      <c r="CH72" s="12">
        <v>-1</v>
      </c>
      <c r="CI72" s="12">
        <v>-1</v>
      </c>
      <c r="CJ72" s="47"/>
      <c r="CK72" s="48">
        <f>IF(BX72=5,320,IF(BX72=4,195,IF(BX72=3,132,IF(BX72=2,90,IF(BX72=1,58,IF(BX72=-1,0,35))))))</f>
        <v>0</v>
      </c>
      <c r="CL72" s="48">
        <f>IF(BX72=5,20,IF(BX72=4,15,IF(BX72=3,12,IF(BX72=2,10,IF(BX72=1,8,IF(BX72=-1,0,5))))))</f>
        <v>0</v>
      </c>
      <c r="CM72" s="48">
        <f>IF(BZ72=5,320,IF(BZ72=4,195,IF(BZ72=3,132,IF(BZ72=2,90,IF(BZ72=1,58,IF(BZ72=-1,0,35))))))</f>
        <v>0</v>
      </c>
      <c r="CN72" s="48">
        <f>IF(BZ72=5,20,IF(BZ72=4,15,IF(BZ72=3,12,IF(BZ72=2,10,IF(BZ72=1,8,IF(BZ72=-1,0,5))))))</f>
        <v>0</v>
      </c>
      <c r="CO72" s="48">
        <f>IF(CB72=5,320,IF(CB72=4,195,IF(CB72=3,132,IF(CB72=2,90,IF(CB72=1,58,IF(CB72=-1,0,35))))))</f>
        <v>0</v>
      </c>
      <c r="CP72" s="48">
        <f>IF(CB72=5,20,IF(CB72=4,15,IF(CB72=3,12,IF(CB72=2,10,IF(CB72=1,8,IF(CB72=-1,0,5))))))</f>
        <v>0</v>
      </c>
      <c r="CQ72" s="48">
        <f>IF(CD72=5,320,IF(CD72=4,195,IF(CD72=3,132,IF(CD72=2,90,IF(CD72=1,58,IF(CD72=-1,0,35))))))</f>
        <v>0</v>
      </c>
      <c r="CR72" s="48">
        <f>IF(CD72=5,20,IF(CD72=4,15,IF(CD72=3,12,IF(CD72=2,10,IF(CD72=1,8,IF(CD72=-1,0,5))))))</f>
        <v>0</v>
      </c>
      <c r="CS72" s="48">
        <f>IF(CF72=5,320,IF(CF72=4,195,IF(CF72=3,132,IF(CF72=2,90,IF(CF72=1,58,IF(CF72=-1,0,35))))))</f>
        <v>0</v>
      </c>
      <c r="CT72" s="48">
        <f>IF(CF72=5,20,IF(CF72=4,15,IF(CF72=3,12,IF(CF72=2,10,IF(CF72=1,8,IF(CF72=-1,0,5))))))</f>
        <v>0</v>
      </c>
      <c r="CU72" s="48">
        <f>IF(CH72=5,320,IF(CH72=4,195,IF(CH72=3,132,IF(CH72=2,90,IF(CH72=1,58,IF(CH72=-1,0,35))))))</f>
        <v>0</v>
      </c>
      <c r="CV72" s="48">
        <f>IF(CH72=5,20,IF(CH72=4,15,IF(CH72=3,12,IF(CH72=2,10,IF(CH72=1,8,IF(CH72=-1,0,5))))))</f>
        <v>0</v>
      </c>
      <c r="CW72" s="48">
        <f>IF(BY72&gt;10,(BY72/10)-ROUNDDOWN(BY72/10,0),0)+IF(CA72&gt;10,(CA72/10)-ROUNDDOWN(CA72/10,0),0)+IF(CC72&gt;10,(CC72/10)-ROUNDDOWN(CC72/10,0),0)+IF(CE72&gt;10,(CE72/10)-ROUNDDOWN(CE72/10,0),0)+IF(CG72&gt;10,(CG72/10)-ROUNDDOWN(CG72/10,0),0)+IF(CI72&gt;10,(CI72/10)-ROUNDDOWN(CI72/10,0),0)</f>
        <v>0</v>
      </c>
      <c r="CX72" s="48">
        <f>1+(CW72/10)</f>
        <v>1</v>
      </c>
    </row>
    <row r="73" ht="20.05" customHeight="1">
      <c r="A73" t="s" s="43">
        <v>352</v>
      </c>
      <c r="B73" s="49"/>
      <c r="C73" t="s" s="45">
        <v>279</v>
      </c>
      <c r="D73" s="13">
        <v>7</v>
      </c>
      <c r="E73" t="s" s="15">
        <v>232</v>
      </c>
      <c r="F73" t="s" s="15">
        <v>233</v>
      </c>
      <c r="G73" t="s" s="15">
        <v>282</v>
      </c>
      <c r="H73" s="12">
        <v>0</v>
      </c>
      <c r="I73" t="s" s="15">
        <v>300</v>
      </c>
      <c r="J73" s="12">
        <v>65</v>
      </c>
      <c r="K73" t="s" s="14">
        <v>236</v>
      </c>
      <c r="L73" t="s" s="15">
        <v>237</v>
      </c>
      <c r="M73" t="s" s="15">
        <v>19</v>
      </c>
      <c r="N73" s="46">
        <f>ROUND((SUM(AA73,T73:Y73,AC73:AE73,Z73*10)-AB73*15)*(IF(K73="Heavy",0.15,IF(K73="Medium",0,IF(K73="Light",-0.15,10)))+1),0)</f>
        <v>0</v>
      </c>
      <c r="O73" s="50"/>
      <c r="P73" s="46">
        <f>ROUNDDOWN((BI73+AU73+AG73)/5,0)+(BJ73+AV73+AH73)+(BN73+AZ73+AL73)+(BO73+BA73+AM73)+(BK73+AW73+AI73)+(BS73+BE73+AQ73)+(BL73+AX73+AJ73)+(BQ73+BC73+AO73)+(2*((BT73+BF73+AR73)+(BU73+BG73+AS73)))+(CK73+CM73+CO73+CQ73+CS73+CU73)+(CL73*BY73)+(CN73*CA73)+(CP73+CC73)+(CR73+CE73)+(CT73+CG73)+(CV73+CI73)+BV73</f>
        <v>-4</v>
      </c>
      <c r="Q73" s="46">
        <f>ROUNDDOWN(((S73/5)+T73+X73+Y73+U73+AC73+V73+AA73+(2*(AD73+AE73))+CK73+CM73+CO73+CQ73+CS73+CU73+(CL73*BX73)+(CN73*BZ73)+(CP73*CB73)+(CR73*CD73)+(CT73*CF73)+(CV73*CH73))*CX73,0)</f>
        <v>0</v>
      </c>
      <c r="R73" s="46">
        <f>ROUNDDOWN(AVERAGE(P73:Q73),0)</f>
        <v>-2</v>
      </c>
      <c r="S73" s="12">
        <f>AG73+AU73+BI73</f>
        <v>0</v>
      </c>
      <c r="T73" s="12">
        <f>AH73+AV73+BJ73</f>
        <v>0</v>
      </c>
      <c r="U73" s="12">
        <f>AI73+AW73+BK73</f>
        <v>0</v>
      </c>
      <c r="V73" s="12">
        <f>AJ73+AX73+BL73</f>
        <v>0</v>
      </c>
      <c r="W73" s="12">
        <f>AK73+AY73+BM73</f>
        <v>0</v>
      </c>
      <c r="X73" s="12">
        <f>AL73+AZ73+BN73</f>
        <v>0</v>
      </c>
      <c r="Y73" s="12">
        <f>AM73+BA73+BO73</f>
        <v>0</v>
      </c>
      <c r="Z73" s="12">
        <f>AN73+BB73+BP73</f>
        <v>0</v>
      </c>
      <c r="AA73" s="12">
        <f>AO73+BC73+BQ73</f>
        <v>0</v>
      </c>
      <c r="AB73" s="12">
        <f>AP73+BD73+BR73</f>
        <v>0</v>
      </c>
      <c r="AC73" s="12">
        <f>AQ73+BE73+BS73</f>
        <v>0</v>
      </c>
      <c r="AD73" s="12">
        <f>AR73+BF73+BT73</f>
        <v>0</v>
      </c>
      <c r="AE73" s="12">
        <f>AS73+BG73+BU73</f>
        <v>0</v>
      </c>
      <c r="AF73" s="28"/>
      <c r="AG73" s="28"/>
      <c r="AH73" s="28"/>
      <c r="AI73" s="28"/>
      <c r="AJ73" s="28"/>
      <c r="AK73" s="28"/>
      <c r="AL73" s="28"/>
      <c r="AM73" s="28"/>
      <c r="AN73" s="28"/>
      <c r="AO73" s="28"/>
      <c r="AP73" s="28"/>
      <c r="AQ73" s="28"/>
      <c r="AR73" s="28"/>
      <c r="AS73" s="28"/>
      <c r="AT73" s="28"/>
      <c r="AU73" s="12">
        <f>IF($H73=3,IF(OR($F73="DDV",$F73="DDG",$F73="DD"),'Fleet Tech - Tech'!B$3,IF($F73="CL",'Fleet Tech - Tech'!B$4,IF($F73="CA",'Fleet Tech - Tech'!B$5,IF($F73="BC",'Fleet Tech - Tech'!B$6,IF($F73="BB",'Fleet Tech - Tech'!B$7,IF($F73="CVL",'Fleet Tech - Tech'!B$8,IF($F73="CV",'Fleet Tech - Tech'!B$9,IF($F73="SS",'Fleet Tech - Tech'!B$10,IF($F73="BBV",'Fleet Tech - Tech'!B$11,IF($F73="CB",'Fleet Tech - Tech'!B$15,IF($F73="AE",'Fleet Tech - Tech'!B$16,IF($F73="IX",'Fleet Tech - Tech'!B$17,IF($F73="BM",'Fleet Tech - Tech'!B$13,IF($F73="AR",'Fleet Tech - Tech'!B$12,IF($F73="SSV",'Fleet Tech - Tech'!B$14,"nil"))))))))))))))),0)</f>
        <v>0</v>
      </c>
      <c r="AV73" s="12">
        <f>IF($H73=3,IF(OR($F73="DDV",$F73="DDG",$F73="DD"),'Fleet Tech - Tech'!C$3,IF($F73="CL",'Fleet Tech - Tech'!C$4,IF($F73="CA",'Fleet Tech - Tech'!C$5,IF($F73="BC",'Fleet Tech - Tech'!C$6,IF($F73="BB",'Fleet Tech - Tech'!C$7,IF($F73="CVL",'Fleet Tech - Tech'!C$8,IF($F73="CV",'Fleet Tech - Tech'!C$9,IF($F73="SS",'Fleet Tech - Tech'!C$10,IF($F73="BBV",'Fleet Tech - Tech'!C$11,IF($F73="CB",'Fleet Tech - Tech'!C$15,IF($F73="AE",'Fleet Tech - Tech'!C$16,IF($F73="IX",'Fleet Tech - Tech'!C$17,IF($F73="BM",'Fleet Tech - Tech'!C$13,IF($F73="AR",'Fleet Tech - Tech'!C$12,IF($F73="SSV",'Fleet Tech - Tech'!C$14,"nil"))))))))))))))),0)</f>
        <v>0</v>
      </c>
      <c r="AW73" s="12">
        <f>IF($H73=3,IF(OR($F73="DDV",$F73="DDG",$F73="DD"),'Fleet Tech - Tech'!D$3,IF($F73="CL",'Fleet Tech - Tech'!D$4,IF($F73="CA",'Fleet Tech - Tech'!D$5,IF($F73="BC",'Fleet Tech - Tech'!D$6,IF($F73="BB",'Fleet Tech - Tech'!D$7,IF($F73="CVL",'Fleet Tech - Tech'!D$8,IF($F73="CV",'Fleet Tech - Tech'!D$9,IF($F73="SS",'Fleet Tech - Tech'!D$10,IF($F73="BBV",'Fleet Tech - Tech'!D$11,IF($F73="CB",'Fleet Tech - Tech'!D$15,IF($F73="AE",'Fleet Tech - Tech'!D$16,IF($F73="IX",'Fleet Tech - Tech'!D$17,IF($F73="BM",'Fleet Tech - Tech'!D$13,IF($F73="AR",'Fleet Tech - Tech'!D$12,IF($F73="SSV",'Fleet Tech - Tech'!D$14,"nil"))))))))))))))),0)</f>
        <v>0</v>
      </c>
      <c r="AX73" s="12">
        <f>IF($H73=3,IF(OR($F73="DDV",$F73="DDG",$F73="DD"),'Fleet Tech - Tech'!E$3,IF($F73="CL",'Fleet Tech - Tech'!E$4,IF($F73="CA",'Fleet Tech - Tech'!E$5,IF($F73="BC",'Fleet Tech - Tech'!E$6,IF($F73="BB",'Fleet Tech - Tech'!E$7,IF($F73="CVL",'Fleet Tech - Tech'!E$8,IF($F73="CV",'Fleet Tech - Tech'!E$9,IF($F73="SS",'Fleet Tech - Tech'!E$10,IF($F73="BBV",'Fleet Tech - Tech'!E$11,IF($F73="CB",'Fleet Tech - Tech'!E$15,IF($F73="AE",'Fleet Tech - Tech'!E$16,IF($F73="IX",'Fleet Tech - Tech'!E$17,IF($F73="BM",'Fleet Tech - Tech'!E$13,IF($F73="AR",'Fleet Tech - Tech'!E$12,IF($F73="SSV",'Fleet Tech - Tech'!E$14,"nil"))))))))))))))),0)</f>
        <v>0</v>
      </c>
      <c r="AY73" s="12">
        <f>IF($H73=3,IF(OR($F73="DDV",$F73="DDG",$F73="DD"),'Fleet Tech - Tech'!F$3,IF($F73="CL",'Fleet Tech - Tech'!F$4,IF($F73="CA",'Fleet Tech - Tech'!F$5,IF($F73="BC",'Fleet Tech - Tech'!F$6,IF($F73="BB",'Fleet Tech - Tech'!F$7,IF($F73="CVL",'Fleet Tech - Tech'!F$8,IF($F73="CV",'Fleet Tech - Tech'!F$9,IF($F73="SS",'Fleet Tech - Tech'!F$10,IF($F73="BBV",'Fleet Tech - Tech'!F$11,IF($F73="CB",'Fleet Tech - Tech'!F$15,IF($F73="AE",'Fleet Tech - Tech'!F$16,IF($F73="IX",'Fleet Tech - Tech'!F$17,IF($F73="BM",'Fleet Tech - Tech'!F$13,IF($F73="AR",'Fleet Tech - Tech'!F$12,IF($F73="SSV",'Fleet Tech - Tech'!F$14,"nil"))))))))))))))),0)</f>
        <v>0</v>
      </c>
      <c r="AZ73" s="12">
        <f>IF($H73=3,IF(OR($F73="DDV",$F73="DDG",$F73="DD"),'Fleet Tech - Tech'!G$3,IF($F73="CL",'Fleet Tech - Tech'!G$4,IF($F73="CA",'Fleet Tech - Tech'!G$5,IF($F73="BC",'Fleet Tech - Tech'!G$6,IF($F73="BB",'Fleet Tech - Tech'!G$7,IF($F73="CVL",'Fleet Tech - Tech'!G$8,IF($F73="CV",'Fleet Tech - Tech'!G$9,IF($F73="SS",'Fleet Tech - Tech'!G$10,IF($F73="BBV",'Fleet Tech - Tech'!G$11,IF($F73="CB",'Fleet Tech - Tech'!G$15,IF($F73="AE",'Fleet Tech - Tech'!G$16,IF($F73="IX",'Fleet Tech - Tech'!G$17,IF($F73="BM",'Fleet Tech - Tech'!G$13,IF($F73="AR",'Fleet Tech - Tech'!G$12,IF($F73="SSV",'Fleet Tech - Tech'!G$14,"nil"))))))))))))))),0)</f>
        <v>0</v>
      </c>
      <c r="BA73" s="12">
        <f>IF($H73=3,IF(OR($F73="DDV",$F73="DDG",$F73="DD"),'Fleet Tech - Tech'!H$3,IF($F73="CL",'Fleet Tech - Tech'!H$4,IF($F73="CA",'Fleet Tech - Tech'!H$5,IF($F73="BC",'Fleet Tech - Tech'!H$6,IF($F73="BB",'Fleet Tech - Tech'!H$7,IF($F73="CVL",'Fleet Tech - Tech'!H$8,IF($F73="CV",'Fleet Tech - Tech'!H$9,IF($F73="SS",'Fleet Tech - Tech'!H$10,IF($F73="BBV",'Fleet Tech - Tech'!H$11,IF($F73="CB",'Fleet Tech - Tech'!H$15,IF($F73="AE",'Fleet Tech - Tech'!H$16,IF($F73="IX",'Fleet Tech - Tech'!H$17,IF($F73="BM",'Fleet Tech - Tech'!H$13,IF($F73="AR",'Fleet Tech - Tech'!H$12,IF($F73="SSV",'Fleet Tech - Tech'!H$14,"nil"))))))))))))))),0)</f>
        <v>0</v>
      </c>
      <c r="BB73" s="12">
        <f>IF($H73=3,IF(OR($F73="DDV",$F73="DDG",$F73="DD"),'Fleet Tech - Tech'!I$3,IF($F73="CL",'Fleet Tech - Tech'!I$4,IF($F73="CA",'Fleet Tech - Tech'!I$5,IF($F73="BC",'Fleet Tech - Tech'!I$6,IF($F73="BB",'Fleet Tech - Tech'!I$7,IF($F73="CVL",'Fleet Tech - Tech'!I$8,IF($F73="CV",'Fleet Tech - Tech'!I$9,IF($F73="SS",'Fleet Tech - Tech'!I$10,IF($F73="BBV",'Fleet Tech - Tech'!I$11,IF($F73="CB",'Fleet Tech - Tech'!I$15,IF($F73="AE",'Fleet Tech - Tech'!I$16,IF($F73="IX",'Fleet Tech - Tech'!I$17,IF($F73="BM",'Fleet Tech - Tech'!I$13,IF($F73="AR",'Fleet Tech - Tech'!I$12,IF($F73="SSV",'Fleet Tech - Tech'!I$14,"nil"))))))))))))))),0)</f>
        <v>0</v>
      </c>
      <c r="BC73" s="12">
        <f>IF($H73=3,IF(OR($F73="DDV",$F73="DDG",$F73="DD"),'Fleet Tech - Tech'!J$3,IF($F73="CL",'Fleet Tech - Tech'!J$4,IF($F73="CA",'Fleet Tech - Tech'!J$5,IF($F73="BC",'Fleet Tech - Tech'!J$6,IF($F73="BB",'Fleet Tech - Tech'!J$7,IF($F73="CVL",'Fleet Tech - Tech'!J$8,IF($F73="CV",'Fleet Tech - Tech'!J$9,IF($F73="SS",'Fleet Tech - Tech'!J$10,IF($F73="BBV",'Fleet Tech - Tech'!J$11,IF($F73="CB",'Fleet Tech - Tech'!J$15,IF($F73="AE",'Fleet Tech - Tech'!J$16,IF($F73="IX",'Fleet Tech - Tech'!J$17,IF($F73="BM",'Fleet Tech - Tech'!J$13,IF($F73="AR",'Fleet Tech - Tech'!J$12,IF($F73="SSV",'Fleet Tech - Tech'!J$14,"nil"))))))))))))))),0)</f>
        <v>0</v>
      </c>
      <c r="BD73" s="12">
        <f>IF($H73=3,IF(OR($F73="DDV",$F73="DDG",$F73="DD"),'Fleet Tech - Tech'!K$3,IF($F73="CL",'Fleet Tech - Tech'!K$4,IF($F73="CA",'Fleet Tech - Tech'!K$5,IF($F73="BC",'Fleet Tech - Tech'!K$6,IF($F73="BB",'Fleet Tech - Tech'!K$7,IF($F73="CVL",'Fleet Tech - Tech'!K$8,IF($F73="CV",'Fleet Tech - Tech'!K$9,IF($F73="SS",'Fleet Tech - Tech'!K$10,IF($F73="BBV",'Fleet Tech - Tech'!K$11,IF($F73="CB",'Fleet Tech - Tech'!K$15,IF($F73="AE",'Fleet Tech - Tech'!K$16,IF($F73="IX",'Fleet Tech - Tech'!K$17,IF($F73="BM",'Fleet Tech - Tech'!K$13,IF($F73="AR",'Fleet Tech - Tech'!K$12,IF($F73="SSV",'Fleet Tech - Tech'!K$14,"nil"))))))))))))))),0)</f>
        <v>0</v>
      </c>
      <c r="BE73" s="12">
        <f>IF($H73=3,IF(OR($F73="DDV",$F73="DDG",$F73="DD"),'Fleet Tech - Tech'!L$3,IF($F73="CL",'Fleet Tech - Tech'!L$4,IF($F73="CA",'Fleet Tech - Tech'!L$5,IF($F73="BC",'Fleet Tech - Tech'!L$6,IF($F73="BB",'Fleet Tech - Tech'!L$7,IF($F73="CVL",'Fleet Tech - Tech'!L$8,IF($F73="CV",'Fleet Tech - Tech'!L$9,IF($F73="SS",'Fleet Tech - Tech'!L$10,IF($F73="BBV",'Fleet Tech - Tech'!L$11,IF($F73="CB",'Fleet Tech - Tech'!L$15,IF($F73="AE",'Fleet Tech - Tech'!L$16,IF($F73="IX",'Fleet Tech - Tech'!L$17,IF($F73="BM",'Fleet Tech - Tech'!L$13,IF($F73="AR",'Fleet Tech - Tech'!L$12,IF($F73="SSV",'Fleet Tech - Tech'!L$14,"nil"))))))))))))))),0)</f>
        <v>0</v>
      </c>
      <c r="BF73" s="12">
        <f>IF($H73=3,IF(OR($F73="DDV",$F73="DDG",$F73="DD"),'Fleet Tech - Tech'!M$3,IF($F73="CL",'Fleet Tech - Tech'!M$4,IF($F73="CA",'Fleet Tech - Tech'!M$5,IF($F73="BC",'Fleet Tech - Tech'!M$6,IF($F73="BB",'Fleet Tech - Tech'!M$7,IF($F73="CVL",'Fleet Tech - Tech'!M$8,IF($F73="CV",'Fleet Tech - Tech'!M$9,IF($F73="SS",'Fleet Tech - Tech'!M$10,IF($F73="BBV",'Fleet Tech - Tech'!M$11,IF($F73="CB",'Fleet Tech - Tech'!M$15,IF($F73="AE",'Fleet Tech - Tech'!M$16,IF($F73="IX",'Fleet Tech - Tech'!M$17,IF($F73="BM",'Fleet Tech - Tech'!M$13,IF($F73="AR",'Fleet Tech - Tech'!M$12,IF($F73="SSV",'Fleet Tech - Tech'!M$14,"nil"))))))))))))))),0)</f>
        <v>0</v>
      </c>
      <c r="BG73" s="12">
        <f>IF($H73=3,IF(OR($F73="DDV",$F73="DDG",$F73="DD"),'Fleet Tech - Tech'!N$3,IF($F73="CL",'Fleet Tech - Tech'!N$4,IF($F73="CA",'Fleet Tech - Tech'!N$5,IF($F73="BC",'Fleet Tech - Tech'!N$6,IF($F73="BB",'Fleet Tech - Tech'!N$7,IF($F73="CVL",'Fleet Tech - Tech'!N$8,IF($F73="CV",'Fleet Tech - Tech'!N$9,IF($F73="SS",'Fleet Tech - Tech'!N$10,IF($F73="BBV",'Fleet Tech - Tech'!N$11,IF($F73="CB",'Fleet Tech - Tech'!N$15,IF($F73="AE",'Fleet Tech - Tech'!N$16,IF($F73="IX",'Fleet Tech - Tech'!N$17,IF($F73="BM",'Fleet Tech - Tech'!N$13,IF($F73="AR",'Fleet Tech - Tech'!N$12,IF($F73="SSV",'Fleet Tech - Tech'!N$14,"nil"))))))))))))))),0)</f>
        <v>0</v>
      </c>
      <c r="BH73" s="28"/>
      <c r="BI73" s="28"/>
      <c r="BJ73" s="28"/>
      <c r="BK73" s="28"/>
      <c r="BL73" s="28"/>
      <c r="BM73" s="28"/>
      <c r="BN73" s="28"/>
      <c r="BO73" s="28"/>
      <c r="BP73" s="28"/>
      <c r="BQ73" s="28"/>
      <c r="BR73" s="28"/>
      <c r="BS73" s="28"/>
      <c r="BT73" s="28"/>
      <c r="BU73" s="28"/>
      <c r="BV73" s="28"/>
      <c r="BW73" s="28"/>
      <c r="BX73" s="12">
        <v>-1</v>
      </c>
      <c r="BY73" s="12">
        <v>-1</v>
      </c>
      <c r="BZ73" s="12">
        <v>-1</v>
      </c>
      <c r="CA73" s="12">
        <v>-1</v>
      </c>
      <c r="CB73" s="12">
        <v>-1</v>
      </c>
      <c r="CC73" s="12">
        <v>-1</v>
      </c>
      <c r="CD73" s="12">
        <v>-1</v>
      </c>
      <c r="CE73" s="12">
        <v>-1</v>
      </c>
      <c r="CF73" s="12">
        <v>-1</v>
      </c>
      <c r="CG73" s="12">
        <v>-1</v>
      </c>
      <c r="CH73" s="12">
        <v>-1</v>
      </c>
      <c r="CI73" s="12">
        <v>-1</v>
      </c>
      <c r="CJ73" s="47"/>
      <c r="CK73" s="48">
        <f>IF(BX73=5,320,IF(BX73=4,195,IF(BX73=3,132,IF(BX73=2,90,IF(BX73=1,58,IF(BX73=-1,0,35))))))</f>
        <v>0</v>
      </c>
      <c r="CL73" s="48">
        <f>IF(BX73=5,20,IF(BX73=4,15,IF(BX73=3,12,IF(BX73=2,10,IF(BX73=1,8,IF(BX73=-1,0,5))))))</f>
        <v>0</v>
      </c>
      <c r="CM73" s="48">
        <f>IF(BZ73=5,320,IF(BZ73=4,195,IF(BZ73=3,132,IF(BZ73=2,90,IF(BZ73=1,58,IF(BZ73=-1,0,35))))))</f>
        <v>0</v>
      </c>
      <c r="CN73" s="48">
        <f>IF(BZ73=5,20,IF(BZ73=4,15,IF(BZ73=3,12,IF(BZ73=2,10,IF(BZ73=1,8,IF(BZ73=-1,0,5))))))</f>
        <v>0</v>
      </c>
      <c r="CO73" s="48">
        <f>IF(CB73=5,320,IF(CB73=4,195,IF(CB73=3,132,IF(CB73=2,90,IF(CB73=1,58,IF(CB73=-1,0,35))))))</f>
        <v>0</v>
      </c>
      <c r="CP73" s="48">
        <f>IF(CB73=5,20,IF(CB73=4,15,IF(CB73=3,12,IF(CB73=2,10,IF(CB73=1,8,IF(CB73=-1,0,5))))))</f>
        <v>0</v>
      </c>
      <c r="CQ73" s="48">
        <f>IF(CD73=5,320,IF(CD73=4,195,IF(CD73=3,132,IF(CD73=2,90,IF(CD73=1,58,IF(CD73=-1,0,35))))))</f>
        <v>0</v>
      </c>
      <c r="CR73" s="48">
        <f>IF(CD73=5,20,IF(CD73=4,15,IF(CD73=3,12,IF(CD73=2,10,IF(CD73=1,8,IF(CD73=-1,0,5))))))</f>
        <v>0</v>
      </c>
      <c r="CS73" s="48">
        <f>IF(CF73=5,320,IF(CF73=4,195,IF(CF73=3,132,IF(CF73=2,90,IF(CF73=1,58,IF(CF73=-1,0,35))))))</f>
        <v>0</v>
      </c>
      <c r="CT73" s="48">
        <f>IF(CF73=5,20,IF(CF73=4,15,IF(CF73=3,12,IF(CF73=2,10,IF(CF73=1,8,IF(CF73=-1,0,5))))))</f>
        <v>0</v>
      </c>
      <c r="CU73" s="48">
        <f>IF(CH73=5,320,IF(CH73=4,195,IF(CH73=3,132,IF(CH73=2,90,IF(CH73=1,58,IF(CH73=-1,0,35))))))</f>
        <v>0</v>
      </c>
      <c r="CV73" s="48">
        <f>IF(CH73=5,20,IF(CH73=4,15,IF(CH73=3,12,IF(CH73=2,10,IF(CH73=1,8,IF(CH73=-1,0,5))))))</f>
        <v>0</v>
      </c>
      <c r="CW73" s="48">
        <f>IF(BY73&gt;10,(BY73/10)-ROUNDDOWN(BY73/10,0),0)+IF(CA73&gt;10,(CA73/10)-ROUNDDOWN(CA73/10,0),0)+IF(CC73&gt;10,(CC73/10)-ROUNDDOWN(CC73/10,0),0)+IF(CE73&gt;10,(CE73/10)-ROUNDDOWN(CE73/10,0),0)+IF(CG73&gt;10,(CG73/10)-ROUNDDOWN(CG73/10,0),0)+IF(CI73&gt;10,(CI73/10)-ROUNDDOWN(CI73/10,0),0)</f>
        <v>0</v>
      </c>
      <c r="CX73" s="48">
        <f>1+(CW73/10)</f>
        <v>1</v>
      </c>
    </row>
    <row r="74" ht="20.05" customHeight="1">
      <c r="A74" t="s" s="43">
        <v>353</v>
      </c>
      <c r="B74" s="49"/>
      <c r="C74" t="s" s="45">
        <v>279</v>
      </c>
      <c r="D74" s="13">
        <v>7</v>
      </c>
      <c r="E74" t="s" s="15">
        <v>232</v>
      </c>
      <c r="F74" t="s" s="15">
        <v>284</v>
      </c>
      <c r="G74" t="s" s="15">
        <v>282</v>
      </c>
      <c r="H74" s="12">
        <v>2</v>
      </c>
      <c r="I74" t="s" s="15">
        <v>300</v>
      </c>
      <c r="J74" s="12">
        <v>59</v>
      </c>
      <c r="K74" t="s" s="14">
        <v>236</v>
      </c>
      <c r="L74" t="s" s="15">
        <v>265</v>
      </c>
      <c r="M74" t="s" s="15">
        <v>27</v>
      </c>
      <c r="N74" s="46">
        <f>ROUND((SUM(AA74,T74:Y74,AC74:AE74,Z74*10)-AB74*15)*(IF(K74="Heavy",0.15,IF(K74="Medium",0,IF(K74="Light",-0.15,10)))+1),0)</f>
        <v>0</v>
      </c>
      <c r="O74" s="50"/>
      <c r="P74" s="46">
        <f>ROUNDDOWN((BI74+AU74+AG74)/5,0)+(BJ74+AV74+AH74)+(BN74+AZ74+AL74)+(BO74+BA74+AM74)+(BK74+AW74+AI74)+(BS74+BE74+AQ74)+(BL74+AX74+AJ74)+(BQ74+BC74+AO74)+(2*((BT74+BF74+AR74)+(BU74+BG74+AS74)))+(CK74+CM74+CO74+CQ74+CS74+CU74)+(CL74*BY74)+(CN74*CA74)+(CP74+CC74)+(CR74+CE74)+(CT74+CG74)+(CV74+CI74)+BV74</f>
        <v>-4</v>
      </c>
      <c r="Q74" s="46">
        <f>ROUNDDOWN(((S74/5)+T74+X74+Y74+U74+AC74+V74+AA74+(2*(AD74+AE74))+CK74+CM74+CO74+CQ74+CS74+CU74+(CL74*BX74)+(CN74*BZ74)+(CP74*CB74)+(CR74*CD74)+(CT74*CF74)+(CV74*CH74))*CX74,0)</f>
        <v>0</v>
      </c>
      <c r="R74" s="46">
        <f>ROUNDDOWN(AVERAGE(P74:Q74),0)</f>
        <v>-2</v>
      </c>
      <c r="S74" s="12">
        <f>AG74+AU74+BI74</f>
        <v>0</v>
      </c>
      <c r="T74" s="12">
        <f>AH74+AV74+BJ74</f>
        <v>0</v>
      </c>
      <c r="U74" s="12">
        <f>AI74+AW74+BK74</f>
        <v>0</v>
      </c>
      <c r="V74" s="12">
        <f>AJ74+AX74+BL74</f>
        <v>0</v>
      </c>
      <c r="W74" s="12">
        <f>AK74+AY74+BM74</f>
        <v>0</v>
      </c>
      <c r="X74" s="12">
        <f>AL74+AZ74+BN74</f>
        <v>0</v>
      </c>
      <c r="Y74" s="12">
        <f>AM74+BA74+BO74</f>
        <v>0</v>
      </c>
      <c r="Z74" s="12">
        <f>AN74+BB74+BP74</f>
        <v>0</v>
      </c>
      <c r="AA74" s="12">
        <f>AO74+BC74+BQ74</f>
        <v>0</v>
      </c>
      <c r="AB74" s="12">
        <f>AP74+BD74+BR74</f>
        <v>0</v>
      </c>
      <c r="AC74" s="12">
        <f>AQ74+BE74+BS74</f>
        <v>0</v>
      </c>
      <c r="AD74" s="12">
        <f>AR74+BF74+BT74</f>
        <v>0</v>
      </c>
      <c r="AE74" s="12">
        <f>AS74+BG74+BU74</f>
        <v>0</v>
      </c>
      <c r="AF74" s="28"/>
      <c r="AG74" s="28"/>
      <c r="AH74" s="28"/>
      <c r="AI74" s="28"/>
      <c r="AJ74" s="28"/>
      <c r="AK74" s="28"/>
      <c r="AL74" s="28"/>
      <c r="AM74" s="28"/>
      <c r="AN74" s="28"/>
      <c r="AO74" s="28"/>
      <c r="AP74" s="28"/>
      <c r="AQ74" s="28"/>
      <c r="AR74" s="28"/>
      <c r="AS74" s="28"/>
      <c r="AT74" s="28"/>
      <c r="AU74" s="12">
        <f>IF($H74=3,IF(OR($F74="DDV",$F74="DDG",$F74="DD"),'Fleet Tech - Tech'!B$3,IF($F74="CL",'Fleet Tech - Tech'!B$4,IF($F74="CA",'Fleet Tech - Tech'!B$5,IF($F74="BC",'Fleet Tech - Tech'!B$6,IF($F74="BB",'Fleet Tech - Tech'!B$7,IF($F74="CVL",'Fleet Tech - Tech'!B$8,IF($F74="CV",'Fleet Tech - Tech'!B$9,IF($F74="SS",'Fleet Tech - Tech'!B$10,IF($F74="BBV",'Fleet Tech - Tech'!B$11,IF($F74="CB",'Fleet Tech - Tech'!B$15,IF($F74="AE",'Fleet Tech - Tech'!B$16,IF($F74="IX",'Fleet Tech - Tech'!B$17,IF($F74="BM",'Fleet Tech - Tech'!B$13,IF($F74="AR",'Fleet Tech - Tech'!B$12,IF($F74="SSV",'Fleet Tech - Tech'!B$14,"nil"))))))))))))))),0)</f>
        <v>0</v>
      </c>
      <c r="AV74" s="12">
        <f>IF($H74=3,IF(OR($F74="DDV",$F74="DDG",$F74="DD"),'Fleet Tech - Tech'!C$3,IF($F74="CL",'Fleet Tech - Tech'!C$4,IF($F74="CA",'Fleet Tech - Tech'!C$5,IF($F74="BC",'Fleet Tech - Tech'!C$6,IF($F74="BB",'Fleet Tech - Tech'!C$7,IF($F74="CVL",'Fleet Tech - Tech'!C$8,IF($F74="CV",'Fleet Tech - Tech'!C$9,IF($F74="SS",'Fleet Tech - Tech'!C$10,IF($F74="BBV",'Fleet Tech - Tech'!C$11,IF($F74="CB",'Fleet Tech - Tech'!C$15,IF($F74="AE",'Fleet Tech - Tech'!C$16,IF($F74="IX",'Fleet Tech - Tech'!C$17,IF($F74="BM",'Fleet Tech - Tech'!C$13,IF($F74="AR",'Fleet Tech - Tech'!C$12,IF($F74="SSV",'Fleet Tech - Tech'!C$14,"nil"))))))))))))))),0)</f>
        <v>0</v>
      </c>
      <c r="AW74" s="12">
        <f>IF($H74=3,IF(OR($F74="DDV",$F74="DDG",$F74="DD"),'Fleet Tech - Tech'!D$3,IF($F74="CL",'Fleet Tech - Tech'!D$4,IF($F74="CA",'Fleet Tech - Tech'!D$5,IF($F74="BC",'Fleet Tech - Tech'!D$6,IF($F74="BB",'Fleet Tech - Tech'!D$7,IF($F74="CVL",'Fleet Tech - Tech'!D$8,IF($F74="CV",'Fleet Tech - Tech'!D$9,IF($F74="SS",'Fleet Tech - Tech'!D$10,IF($F74="BBV",'Fleet Tech - Tech'!D$11,IF($F74="CB",'Fleet Tech - Tech'!D$15,IF($F74="AE",'Fleet Tech - Tech'!D$16,IF($F74="IX",'Fleet Tech - Tech'!D$17,IF($F74="BM",'Fleet Tech - Tech'!D$13,IF($F74="AR",'Fleet Tech - Tech'!D$12,IF($F74="SSV",'Fleet Tech - Tech'!D$14,"nil"))))))))))))))),0)</f>
        <v>0</v>
      </c>
      <c r="AX74" s="12">
        <f>IF($H74=3,IF(OR($F74="DDV",$F74="DDG",$F74="DD"),'Fleet Tech - Tech'!E$3,IF($F74="CL",'Fleet Tech - Tech'!E$4,IF($F74="CA",'Fleet Tech - Tech'!E$5,IF($F74="BC",'Fleet Tech - Tech'!E$6,IF($F74="BB",'Fleet Tech - Tech'!E$7,IF($F74="CVL",'Fleet Tech - Tech'!E$8,IF($F74="CV",'Fleet Tech - Tech'!E$9,IF($F74="SS",'Fleet Tech - Tech'!E$10,IF($F74="BBV",'Fleet Tech - Tech'!E$11,IF($F74="CB",'Fleet Tech - Tech'!E$15,IF($F74="AE",'Fleet Tech - Tech'!E$16,IF($F74="IX",'Fleet Tech - Tech'!E$17,IF($F74="BM",'Fleet Tech - Tech'!E$13,IF($F74="AR",'Fleet Tech - Tech'!E$12,IF($F74="SSV",'Fleet Tech - Tech'!E$14,"nil"))))))))))))))),0)</f>
        <v>0</v>
      </c>
      <c r="AY74" s="12">
        <f>IF($H74=3,IF(OR($F74="DDV",$F74="DDG",$F74="DD"),'Fleet Tech - Tech'!F$3,IF($F74="CL",'Fleet Tech - Tech'!F$4,IF($F74="CA",'Fleet Tech - Tech'!F$5,IF($F74="BC",'Fleet Tech - Tech'!F$6,IF($F74="BB",'Fleet Tech - Tech'!F$7,IF($F74="CVL",'Fleet Tech - Tech'!F$8,IF($F74="CV",'Fleet Tech - Tech'!F$9,IF($F74="SS",'Fleet Tech - Tech'!F$10,IF($F74="BBV",'Fleet Tech - Tech'!F$11,IF($F74="CB",'Fleet Tech - Tech'!F$15,IF($F74="AE",'Fleet Tech - Tech'!F$16,IF($F74="IX",'Fleet Tech - Tech'!F$17,IF($F74="BM",'Fleet Tech - Tech'!F$13,IF($F74="AR",'Fleet Tech - Tech'!F$12,IF($F74="SSV",'Fleet Tech - Tech'!F$14,"nil"))))))))))))))),0)</f>
        <v>0</v>
      </c>
      <c r="AZ74" s="12">
        <f>IF($H74=3,IF(OR($F74="DDV",$F74="DDG",$F74="DD"),'Fleet Tech - Tech'!G$3,IF($F74="CL",'Fleet Tech - Tech'!G$4,IF($F74="CA",'Fleet Tech - Tech'!G$5,IF($F74="BC",'Fleet Tech - Tech'!G$6,IF($F74="BB",'Fleet Tech - Tech'!G$7,IF($F74="CVL",'Fleet Tech - Tech'!G$8,IF($F74="CV",'Fleet Tech - Tech'!G$9,IF($F74="SS",'Fleet Tech - Tech'!G$10,IF($F74="BBV",'Fleet Tech - Tech'!G$11,IF($F74="CB",'Fleet Tech - Tech'!G$15,IF($F74="AE",'Fleet Tech - Tech'!G$16,IF($F74="IX",'Fleet Tech - Tech'!G$17,IF($F74="BM",'Fleet Tech - Tech'!G$13,IF($F74="AR",'Fleet Tech - Tech'!G$12,IF($F74="SSV",'Fleet Tech - Tech'!G$14,"nil"))))))))))))))),0)</f>
        <v>0</v>
      </c>
      <c r="BA74" s="12">
        <f>IF($H74=3,IF(OR($F74="DDV",$F74="DDG",$F74="DD"),'Fleet Tech - Tech'!H$3,IF($F74="CL",'Fleet Tech - Tech'!H$4,IF($F74="CA",'Fleet Tech - Tech'!H$5,IF($F74="BC",'Fleet Tech - Tech'!H$6,IF($F74="BB",'Fleet Tech - Tech'!H$7,IF($F74="CVL",'Fleet Tech - Tech'!H$8,IF($F74="CV",'Fleet Tech - Tech'!H$9,IF($F74="SS",'Fleet Tech - Tech'!H$10,IF($F74="BBV",'Fleet Tech - Tech'!H$11,IF($F74="CB",'Fleet Tech - Tech'!H$15,IF($F74="AE",'Fleet Tech - Tech'!H$16,IF($F74="IX",'Fleet Tech - Tech'!H$17,IF($F74="BM",'Fleet Tech - Tech'!H$13,IF($F74="AR",'Fleet Tech - Tech'!H$12,IF($F74="SSV",'Fleet Tech - Tech'!H$14,"nil"))))))))))))))),0)</f>
        <v>0</v>
      </c>
      <c r="BB74" s="12">
        <f>IF($H74=3,IF(OR($F74="DDV",$F74="DDG",$F74="DD"),'Fleet Tech - Tech'!I$3,IF($F74="CL",'Fleet Tech - Tech'!I$4,IF($F74="CA",'Fleet Tech - Tech'!I$5,IF($F74="BC",'Fleet Tech - Tech'!I$6,IF($F74="BB",'Fleet Tech - Tech'!I$7,IF($F74="CVL",'Fleet Tech - Tech'!I$8,IF($F74="CV",'Fleet Tech - Tech'!I$9,IF($F74="SS",'Fleet Tech - Tech'!I$10,IF($F74="BBV",'Fleet Tech - Tech'!I$11,IF($F74="CB",'Fleet Tech - Tech'!I$15,IF($F74="AE",'Fleet Tech - Tech'!I$16,IF($F74="IX",'Fleet Tech - Tech'!I$17,IF($F74="BM",'Fleet Tech - Tech'!I$13,IF($F74="AR",'Fleet Tech - Tech'!I$12,IF($F74="SSV",'Fleet Tech - Tech'!I$14,"nil"))))))))))))))),0)</f>
        <v>0</v>
      </c>
      <c r="BC74" s="12">
        <f>IF($H74=3,IF(OR($F74="DDV",$F74="DDG",$F74="DD"),'Fleet Tech - Tech'!J$3,IF($F74="CL",'Fleet Tech - Tech'!J$4,IF($F74="CA",'Fleet Tech - Tech'!J$5,IF($F74="BC",'Fleet Tech - Tech'!J$6,IF($F74="BB",'Fleet Tech - Tech'!J$7,IF($F74="CVL",'Fleet Tech - Tech'!J$8,IF($F74="CV",'Fleet Tech - Tech'!J$9,IF($F74="SS",'Fleet Tech - Tech'!J$10,IF($F74="BBV",'Fleet Tech - Tech'!J$11,IF($F74="CB",'Fleet Tech - Tech'!J$15,IF($F74="AE",'Fleet Tech - Tech'!J$16,IF($F74="IX",'Fleet Tech - Tech'!J$17,IF($F74="BM",'Fleet Tech - Tech'!J$13,IF($F74="AR",'Fleet Tech - Tech'!J$12,IF($F74="SSV",'Fleet Tech - Tech'!J$14,"nil"))))))))))))))),0)</f>
        <v>0</v>
      </c>
      <c r="BD74" s="12">
        <f>IF($H74=3,IF(OR($F74="DDV",$F74="DDG",$F74="DD"),'Fleet Tech - Tech'!K$3,IF($F74="CL",'Fleet Tech - Tech'!K$4,IF($F74="CA",'Fleet Tech - Tech'!K$5,IF($F74="BC",'Fleet Tech - Tech'!K$6,IF($F74="BB",'Fleet Tech - Tech'!K$7,IF($F74="CVL",'Fleet Tech - Tech'!K$8,IF($F74="CV",'Fleet Tech - Tech'!K$9,IF($F74="SS",'Fleet Tech - Tech'!K$10,IF($F74="BBV",'Fleet Tech - Tech'!K$11,IF($F74="CB",'Fleet Tech - Tech'!K$15,IF($F74="AE",'Fleet Tech - Tech'!K$16,IF($F74="IX",'Fleet Tech - Tech'!K$17,IF($F74="BM",'Fleet Tech - Tech'!K$13,IF($F74="AR",'Fleet Tech - Tech'!K$12,IF($F74="SSV",'Fleet Tech - Tech'!K$14,"nil"))))))))))))))),0)</f>
        <v>0</v>
      </c>
      <c r="BE74" s="12">
        <f>IF($H74=3,IF(OR($F74="DDV",$F74="DDG",$F74="DD"),'Fleet Tech - Tech'!L$3,IF($F74="CL",'Fleet Tech - Tech'!L$4,IF($F74="CA",'Fleet Tech - Tech'!L$5,IF($F74="BC",'Fleet Tech - Tech'!L$6,IF($F74="BB",'Fleet Tech - Tech'!L$7,IF($F74="CVL",'Fleet Tech - Tech'!L$8,IF($F74="CV",'Fleet Tech - Tech'!L$9,IF($F74="SS",'Fleet Tech - Tech'!L$10,IF($F74="BBV",'Fleet Tech - Tech'!L$11,IF($F74="CB",'Fleet Tech - Tech'!L$15,IF($F74="AE",'Fleet Tech - Tech'!L$16,IF($F74="IX",'Fleet Tech - Tech'!L$17,IF($F74="BM",'Fleet Tech - Tech'!L$13,IF($F74="AR",'Fleet Tech - Tech'!L$12,IF($F74="SSV",'Fleet Tech - Tech'!L$14,"nil"))))))))))))))),0)</f>
        <v>0</v>
      </c>
      <c r="BF74" s="12">
        <f>IF($H74=3,IF(OR($F74="DDV",$F74="DDG",$F74="DD"),'Fleet Tech - Tech'!M$3,IF($F74="CL",'Fleet Tech - Tech'!M$4,IF($F74="CA",'Fleet Tech - Tech'!M$5,IF($F74="BC",'Fleet Tech - Tech'!M$6,IF($F74="BB",'Fleet Tech - Tech'!M$7,IF($F74="CVL",'Fleet Tech - Tech'!M$8,IF($F74="CV",'Fleet Tech - Tech'!M$9,IF($F74="SS",'Fleet Tech - Tech'!M$10,IF($F74="BBV",'Fleet Tech - Tech'!M$11,IF($F74="CB",'Fleet Tech - Tech'!M$15,IF($F74="AE",'Fleet Tech - Tech'!M$16,IF($F74="IX",'Fleet Tech - Tech'!M$17,IF($F74="BM",'Fleet Tech - Tech'!M$13,IF($F74="AR",'Fleet Tech - Tech'!M$12,IF($F74="SSV",'Fleet Tech - Tech'!M$14,"nil"))))))))))))))),0)</f>
        <v>0</v>
      </c>
      <c r="BG74" s="12">
        <f>IF($H74=3,IF(OR($F74="DDV",$F74="DDG",$F74="DD"),'Fleet Tech - Tech'!N$3,IF($F74="CL",'Fleet Tech - Tech'!N$4,IF($F74="CA",'Fleet Tech - Tech'!N$5,IF($F74="BC",'Fleet Tech - Tech'!N$6,IF($F74="BB",'Fleet Tech - Tech'!N$7,IF($F74="CVL",'Fleet Tech - Tech'!N$8,IF($F74="CV",'Fleet Tech - Tech'!N$9,IF($F74="SS",'Fleet Tech - Tech'!N$10,IF($F74="BBV",'Fleet Tech - Tech'!N$11,IF($F74="CB",'Fleet Tech - Tech'!N$15,IF($F74="AE",'Fleet Tech - Tech'!N$16,IF($F74="IX",'Fleet Tech - Tech'!N$17,IF($F74="BM",'Fleet Tech - Tech'!N$13,IF($F74="AR",'Fleet Tech - Tech'!N$12,IF($F74="SSV",'Fleet Tech - Tech'!N$14,"nil"))))))))))))))),0)</f>
        <v>0</v>
      </c>
      <c r="BH74" s="28"/>
      <c r="BI74" s="28"/>
      <c r="BJ74" s="28"/>
      <c r="BK74" s="28"/>
      <c r="BL74" s="28"/>
      <c r="BM74" s="28"/>
      <c r="BN74" s="28"/>
      <c r="BO74" s="28"/>
      <c r="BP74" s="28"/>
      <c r="BQ74" s="28"/>
      <c r="BR74" s="28"/>
      <c r="BS74" s="28"/>
      <c r="BT74" s="28"/>
      <c r="BU74" s="28"/>
      <c r="BV74" s="28"/>
      <c r="BW74" s="28"/>
      <c r="BX74" s="12">
        <v>-1</v>
      </c>
      <c r="BY74" s="12">
        <v>-1</v>
      </c>
      <c r="BZ74" s="12">
        <v>-1</v>
      </c>
      <c r="CA74" s="12">
        <v>-1</v>
      </c>
      <c r="CB74" s="12">
        <v>-1</v>
      </c>
      <c r="CC74" s="12">
        <v>-1</v>
      </c>
      <c r="CD74" s="12">
        <v>-1</v>
      </c>
      <c r="CE74" s="12">
        <v>-1</v>
      </c>
      <c r="CF74" s="12">
        <v>-1</v>
      </c>
      <c r="CG74" s="12">
        <v>-1</v>
      </c>
      <c r="CH74" s="12">
        <v>-1</v>
      </c>
      <c r="CI74" s="12">
        <v>-1</v>
      </c>
      <c r="CJ74" s="47"/>
      <c r="CK74" s="48">
        <f>IF(BX74=5,320,IF(BX74=4,195,IF(BX74=3,132,IF(BX74=2,90,IF(BX74=1,58,IF(BX74=-1,0,35))))))</f>
        <v>0</v>
      </c>
      <c r="CL74" s="48">
        <f>IF(BX74=5,20,IF(BX74=4,15,IF(BX74=3,12,IF(BX74=2,10,IF(BX74=1,8,IF(BX74=-1,0,5))))))</f>
        <v>0</v>
      </c>
      <c r="CM74" s="48">
        <f>IF(BZ74=5,320,IF(BZ74=4,195,IF(BZ74=3,132,IF(BZ74=2,90,IF(BZ74=1,58,IF(BZ74=-1,0,35))))))</f>
        <v>0</v>
      </c>
      <c r="CN74" s="48">
        <f>IF(BZ74=5,20,IF(BZ74=4,15,IF(BZ74=3,12,IF(BZ74=2,10,IF(BZ74=1,8,IF(BZ74=-1,0,5))))))</f>
        <v>0</v>
      </c>
      <c r="CO74" s="48">
        <f>IF(CB74=5,320,IF(CB74=4,195,IF(CB74=3,132,IF(CB74=2,90,IF(CB74=1,58,IF(CB74=-1,0,35))))))</f>
        <v>0</v>
      </c>
      <c r="CP74" s="48">
        <f>IF(CB74=5,20,IF(CB74=4,15,IF(CB74=3,12,IF(CB74=2,10,IF(CB74=1,8,IF(CB74=-1,0,5))))))</f>
        <v>0</v>
      </c>
      <c r="CQ74" s="48">
        <f>IF(CD74=5,320,IF(CD74=4,195,IF(CD74=3,132,IF(CD74=2,90,IF(CD74=1,58,IF(CD74=-1,0,35))))))</f>
        <v>0</v>
      </c>
      <c r="CR74" s="48">
        <f>IF(CD74=5,20,IF(CD74=4,15,IF(CD74=3,12,IF(CD74=2,10,IF(CD74=1,8,IF(CD74=-1,0,5))))))</f>
        <v>0</v>
      </c>
      <c r="CS74" s="48">
        <f>IF(CF74=5,320,IF(CF74=4,195,IF(CF74=3,132,IF(CF74=2,90,IF(CF74=1,58,IF(CF74=-1,0,35))))))</f>
        <v>0</v>
      </c>
      <c r="CT74" s="48">
        <f>IF(CF74=5,20,IF(CF74=4,15,IF(CF74=3,12,IF(CF74=2,10,IF(CF74=1,8,IF(CF74=-1,0,5))))))</f>
        <v>0</v>
      </c>
      <c r="CU74" s="48">
        <f>IF(CH74=5,320,IF(CH74=4,195,IF(CH74=3,132,IF(CH74=2,90,IF(CH74=1,58,IF(CH74=-1,0,35))))))</f>
        <v>0</v>
      </c>
      <c r="CV74" s="48">
        <f>IF(CH74=5,20,IF(CH74=4,15,IF(CH74=3,12,IF(CH74=2,10,IF(CH74=1,8,IF(CH74=-1,0,5))))))</f>
        <v>0</v>
      </c>
      <c r="CW74" s="48">
        <f>IF(BY74&gt;10,(BY74/10)-ROUNDDOWN(BY74/10,0),0)+IF(CA74&gt;10,(CA74/10)-ROUNDDOWN(CA74/10,0),0)+IF(CC74&gt;10,(CC74/10)-ROUNDDOWN(CC74/10,0),0)+IF(CE74&gt;10,(CE74/10)-ROUNDDOWN(CE74/10,0),0)+IF(CG74&gt;10,(CG74/10)-ROUNDDOWN(CG74/10,0),0)+IF(CI74&gt;10,(CI74/10)-ROUNDDOWN(CI74/10,0),0)</f>
        <v>0</v>
      </c>
      <c r="CX74" s="48">
        <f>1+(CW74/10)</f>
        <v>1</v>
      </c>
    </row>
    <row r="75" ht="20.05" customHeight="1">
      <c r="A75" t="s" s="43">
        <v>354</v>
      </c>
      <c r="B75" s="49"/>
      <c r="C75" t="s" s="45">
        <v>279</v>
      </c>
      <c r="D75" s="13">
        <v>7</v>
      </c>
      <c r="E75" t="s" s="15">
        <v>232</v>
      </c>
      <c r="F75" t="s" s="15">
        <v>275</v>
      </c>
      <c r="G75" t="s" s="15">
        <v>314</v>
      </c>
      <c r="H75" s="12">
        <v>2</v>
      </c>
      <c r="I75" t="s" s="15">
        <v>277</v>
      </c>
      <c r="J75" s="12">
        <v>58</v>
      </c>
      <c r="K75" t="s" s="14">
        <v>242</v>
      </c>
      <c r="L75" t="s" s="15">
        <v>265</v>
      </c>
      <c r="M75" t="s" s="15">
        <v>22</v>
      </c>
      <c r="N75" s="46">
        <f>ROUND((SUM(AA75,T75:Y75,AC75:AE75,Z75*10)-AB75*15)*(IF(K75="Heavy",0.15,IF(K75="Medium",0,IF(K75="Light",-0.15,10)))+1),0)</f>
        <v>0</v>
      </c>
      <c r="O75" s="50"/>
      <c r="P75" s="46">
        <f>ROUNDDOWN((BI75+AU75+AG75)/5,0)+(BJ75+AV75+AH75)+(BN75+AZ75+AL75)+(BO75+BA75+AM75)+(BK75+AW75+AI75)+(BS75+BE75+AQ75)+(BL75+AX75+AJ75)+(BQ75+BC75+AO75)+(2*((BT75+BF75+AR75)+(BU75+BG75+AS75)))+(CK75+CM75+CO75+CQ75+CS75+CU75)+(CL75*BY75)+(CN75*CA75)+(CP75+CC75)+(CR75+CE75)+(CT75+CG75)+(CV75+CI75)+BV75</f>
        <v>-4</v>
      </c>
      <c r="Q75" s="46">
        <f>ROUNDDOWN(((S75/5)+T75+X75+Y75+U75+AC75+V75+AA75+(2*(AD75+AE75))+CK75+CM75+CO75+CQ75+CS75+CU75+(CL75*BX75)+(CN75*BZ75)+(CP75*CB75)+(CR75*CD75)+(CT75*CF75)+(CV75*CH75))*CX75,0)</f>
        <v>0</v>
      </c>
      <c r="R75" s="46">
        <f>ROUNDDOWN(AVERAGE(P75:Q75),0)</f>
        <v>-2</v>
      </c>
      <c r="S75" s="12">
        <f>AG75+AU75+BI75</f>
        <v>0</v>
      </c>
      <c r="T75" s="12">
        <f>AH75+AV75+BJ75</f>
        <v>0</v>
      </c>
      <c r="U75" s="12">
        <f>AI75+AW75+BK75</f>
        <v>0</v>
      </c>
      <c r="V75" s="12">
        <f>AJ75+AX75+BL75</f>
        <v>0</v>
      </c>
      <c r="W75" s="12">
        <f>AK75+AY75+BM75</f>
        <v>0</v>
      </c>
      <c r="X75" s="12">
        <f>AL75+AZ75+BN75</f>
        <v>0</v>
      </c>
      <c r="Y75" s="12">
        <f>AM75+BA75+BO75</f>
        <v>0</v>
      </c>
      <c r="Z75" s="12">
        <f>AN75+BB75+BP75</f>
        <v>0</v>
      </c>
      <c r="AA75" s="12">
        <f>AO75+BC75+BQ75</f>
        <v>0</v>
      </c>
      <c r="AB75" s="12">
        <f>AP75+BD75+BR75</f>
        <v>0</v>
      </c>
      <c r="AC75" s="12">
        <f>AQ75+BE75+BS75</f>
        <v>0</v>
      </c>
      <c r="AD75" s="12">
        <f>AR75+BF75+BT75</f>
        <v>0</v>
      </c>
      <c r="AE75" s="12">
        <f>AS75+BG75+BU75</f>
        <v>0</v>
      </c>
      <c r="AF75" s="28"/>
      <c r="AG75" s="28"/>
      <c r="AH75" s="28"/>
      <c r="AI75" s="28"/>
      <c r="AJ75" s="28"/>
      <c r="AK75" s="28"/>
      <c r="AL75" s="28"/>
      <c r="AM75" s="28"/>
      <c r="AN75" s="28"/>
      <c r="AO75" s="28"/>
      <c r="AP75" s="28"/>
      <c r="AQ75" s="28"/>
      <c r="AR75" s="28"/>
      <c r="AS75" s="28"/>
      <c r="AT75" s="28"/>
      <c r="AU75" s="12">
        <f>IF($H75=3,IF(OR($F75="DDV",$F75="DDG",$F75="DD"),'Fleet Tech - Tech'!B$3,IF($F75="CL",'Fleet Tech - Tech'!B$4,IF($F75="CA",'Fleet Tech - Tech'!B$5,IF($F75="BC",'Fleet Tech - Tech'!B$6,IF($F75="BB",'Fleet Tech - Tech'!B$7,IF($F75="CVL",'Fleet Tech - Tech'!B$8,IF($F75="CV",'Fleet Tech - Tech'!B$9,IF($F75="SS",'Fleet Tech - Tech'!B$10,IF($F75="BBV",'Fleet Tech - Tech'!B$11,IF($F75="CB",'Fleet Tech - Tech'!B$15,IF($F75="AE",'Fleet Tech - Tech'!B$16,IF($F75="IX",'Fleet Tech - Tech'!B$17,IF($F75="BM",'Fleet Tech - Tech'!B$13,IF($F75="AR",'Fleet Tech - Tech'!B$12,IF($F75="SSV",'Fleet Tech - Tech'!B$14,"nil"))))))))))))))),0)</f>
        <v>0</v>
      </c>
      <c r="AV75" s="12">
        <f>IF($H75=3,IF(OR($F75="DDV",$F75="DDG",$F75="DD"),'Fleet Tech - Tech'!C$3,IF($F75="CL",'Fleet Tech - Tech'!C$4,IF($F75="CA",'Fleet Tech - Tech'!C$5,IF($F75="BC",'Fleet Tech - Tech'!C$6,IF($F75="BB",'Fleet Tech - Tech'!C$7,IF($F75="CVL",'Fleet Tech - Tech'!C$8,IF($F75="CV",'Fleet Tech - Tech'!C$9,IF($F75="SS",'Fleet Tech - Tech'!C$10,IF($F75="BBV",'Fleet Tech - Tech'!C$11,IF($F75="CB",'Fleet Tech - Tech'!C$15,IF($F75="AE",'Fleet Tech - Tech'!C$16,IF($F75="IX",'Fleet Tech - Tech'!C$17,IF($F75="BM",'Fleet Tech - Tech'!C$13,IF($F75="AR",'Fleet Tech - Tech'!C$12,IF($F75="SSV",'Fleet Tech - Tech'!C$14,"nil"))))))))))))))),0)</f>
        <v>0</v>
      </c>
      <c r="AW75" s="12">
        <f>IF($H75=3,IF(OR($F75="DDV",$F75="DDG",$F75="DD"),'Fleet Tech - Tech'!D$3,IF($F75="CL",'Fleet Tech - Tech'!D$4,IF($F75="CA",'Fleet Tech - Tech'!D$5,IF($F75="BC",'Fleet Tech - Tech'!D$6,IF($F75="BB",'Fleet Tech - Tech'!D$7,IF($F75="CVL",'Fleet Tech - Tech'!D$8,IF($F75="CV",'Fleet Tech - Tech'!D$9,IF($F75="SS",'Fleet Tech - Tech'!D$10,IF($F75="BBV",'Fleet Tech - Tech'!D$11,IF($F75="CB",'Fleet Tech - Tech'!D$15,IF($F75="AE",'Fleet Tech - Tech'!D$16,IF($F75="IX",'Fleet Tech - Tech'!D$17,IF($F75="BM",'Fleet Tech - Tech'!D$13,IF($F75="AR",'Fleet Tech - Tech'!D$12,IF($F75="SSV",'Fleet Tech - Tech'!D$14,"nil"))))))))))))))),0)</f>
        <v>0</v>
      </c>
      <c r="AX75" s="12">
        <f>IF($H75=3,IF(OR($F75="DDV",$F75="DDG",$F75="DD"),'Fleet Tech - Tech'!E$3,IF($F75="CL",'Fleet Tech - Tech'!E$4,IF($F75="CA",'Fleet Tech - Tech'!E$5,IF($F75="BC",'Fleet Tech - Tech'!E$6,IF($F75="BB",'Fleet Tech - Tech'!E$7,IF($F75="CVL",'Fleet Tech - Tech'!E$8,IF($F75="CV",'Fleet Tech - Tech'!E$9,IF($F75="SS",'Fleet Tech - Tech'!E$10,IF($F75="BBV",'Fleet Tech - Tech'!E$11,IF($F75="CB",'Fleet Tech - Tech'!E$15,IF($F75="AE",'Fleet Tech - Tech'!E$16,IF($F75="IX",'Fleet Tech - Tech'!E$17,IF($F75="BM",'Fleet Tech - Tech'!E$13,IF($F75="AR",'Fleet Tech - Tech'!E$12,IF($F75="SSV",'Fleet Tech - Tech'!E$14,"nil"))))))))))))))),0)</f>
        <v>0</v>
      </c>
      <c r="AY75" s="12">
        <f>IF($H75=3,IF(OR($F75="DDV",$F75="DDG",$F75="DD"),'Fleet Tech - Tech'!F$3,IF($F75="CL",'Fleet Tech - Tech'!F$4,IF($F75="CA",'Fleet Tech - Tech'!F$5,IF($F75="BC",'Fleet Tech - Tech'!F$6,IF($F75="BB",'Fleet Tech - Tech'!F$7,IF($F75="CVL",'Fleet Tech - Tech'!F$8,IF($F75="CV",'Fleet Tech - Tech'!F$9,IF($F75="SS",'Fleet Tech - Tech'!F$10,IF($F75="BBV",'Fleet Tech - Tech'!F$11,IF($F75="CB",'Fleet Tech - Tech'!F$15,IF($F75="AE",'Fleet Tech - Tech'!F$16,IF($F75="IX",'Fleet Tech - Tech'!F$17,IF($F75="BM",'Fleet Tech - Tech'!F$13,IF($F75="AR",'Fleet Tech - Tech'!F$12,IF($F75="SSV",'Fleet Tech - Tech'!F$14,"nil"))))))))))))))),0)</f>
        <v>0</v>
      </c>
      <c r="AZ75" s="12">
        <f>IF($H75=3,IF(OR($F75="DDV",$F75="DDG",$F75="DD"),'Fleet Tech - Tech'!G$3,IF($F75="CL",'Fleet Tech - Tech'!G$4,IF($F75="CA",'Fleet Tech - Tech'!G$5,IF($F75="BC",'Fleet Tech - Tech'!G$6,IF($F75="BB",'Fleet Tech - Tech'!G$7,IF($F75="CVL",'Fleet Tech - Tech'!G$8,IF($F75="CV",'Fleet Tech - Tech'!G$9,IF($F75="SS",'Fleet Tech - Tech'!G$10,IF($F75="BBV",'Fleet Tech - Tech'!G$11,IF($F75="CB",'Fleet Tech - Tech'!G$15,IF($F75="AE",'Fleet Tech - Tech'!G$16,IF($F75="IX",'Fleet Tech - Tech'!G$17,IF($F75="BM",'Fleet Tech - Tech'!G$13,IF($F75="AR",'Fleet Tech - Tech'!G$12,IF($F75="SSV",'Fleet Tech - Tech'!G$14,"nil"))))))))))))))),0)</f>
        <v>0</v>
      </c>
      <c r="BA75" s="12">
        <f>IF($H75=3,IF(OR($F75="DDV",$F75="DDG",$F75="DD"),'Fleet Tech - Tech'!H$3,IF($F75="CL",'Fleet Tech - Tech'!H$4,IF($F75="CA",'Fleet Tech - Tech'!H$5,IF($F75="BC",'Fleet Tech - Tech'!H$6,IF($F75="BB",'Fleet Tech - Tech'!H$7,IF($F75="CVL",'Fleet Tech - Tech'!H$8,IF($F75="CV",'Fleet Tech - Tech'!H$9,IF($F75="SS",'Fleet Tech - Tech'!H$10,IF($F75="BBV",'Fleet Tech - Tech'!H$11,IF($F75="CB",'Fleet Tech - Tech'!H$15,IF($F75="AE",'Fleet Tech - Tech'!H$16,IF($F75="IX",'Fleet Tech - Tech'!H$17,IF($F75="BM",'Fleet Tech - Tech'!H$13,IF($F75="AR",'Fleet Tech - Tech'!H$12,IF($F75="SSV",'Fleet Tech - Tech'!H$14,"nil"))))))))))))))),0)</f>
        <v>0</v>
      </c>
      <c r="BB75" s="12">
        <f>IF($H75=3,IF(OR($F75="DDV",$F75="DDG",$F75="DD"),'Fleet Tech - Tech'!I$3,IF($F75="CL",'Fleet Tech - Tech'!I$4,IF($F75="CA",'Fleet Tech - Tech'!I$5,IF($F75="BC",'Fleet Tech - Tech'!I$6,IF($F75="BB",'Fleet Tech - Tech'!I$7,IF($F75="CVL",'Fleet Tech - Tech'!I$8,IF($F75="CV",'Fleet Tech - Tech'!I$9,IF($F75="SS",'Fleet Tech - Tech'!I$10,IF($F75="BBV",'Fleet Tech - Tech'!I$11,IF($F75="CB",'Fleet Tech - Tech'!I$15,IF($F75="AE",'Fleet Tech - Tech'!I$16,IF($F75="IX",'Fleet Tech - Tech'!I$17,IF($F75="BM",'Fleet Tech - Tech'!I$13,IF($F75="AR",'Fleet Tech - Tech'!I$12,IF($F75="SSV",'Fleet Tech - Tech'!I$14,"nil"))))))))))))))),0)</f>
        <v>0</v>
      </c>
      <c r="BC75" s="12">
        <f>IF($H75=3,IF(OR($F75="DDV",$F75="DDG",$F75="DD"),'Fleet Tech - Tech'!J$3,IF($F75="CL",'Fleet Tech - Tech'!J$4,IF($F75="CA",'Fleet Tech - Tech'!J$5,IF($F75="BC",'Fleet Tech - Tech'!J$6,IF($F75="BB",'Fleet Tech - Tech'!J$7,IF($F75="CVL",'Fleet Tech - Tech'!J$8,IF($F75="CV",'Fleet Tech - Tech'!J$9,IF($F75="SS",'Fleet Tech - Tech'!J$10,IF($F75="BBV",'Fleet Tech - Tech'!J$11,IF($F75="CB",'Fleet Tech - Tech'!J$15,IF($F75="AE",'Fleet Tech - Tech'!J$16,IF($F75="IX",'Fleet Tech - Tech'!J$17,IF($F75="BM",'Fleet Tech - Tech'!J$13,IF($F75="AR",'Fleet Tech - Tech'!J$12,IF($F75="SSV",'Fleet Tech - Tech'!J$14,"nil"))))))))))))))),0)</f>
        <v>0</v>
      </c>
      <c r="BD75" s="12">
        <f>IF($H75=3,IF(OR($F75="DDV",$F75="DDG",$F75="DD"),'Fleet Tech - Tech'!K$3,IF($F75="CL",'Fleet Tech - Tech'!K$4,IF($F75="CA",'Fleet Tech - Tech'!K$5,IF($F75="BC",'Fleet Tech - Tech'!K$6,IF($F75="BB",'Fleet Tech - Tech'!K$7,IF($F75="CVL",'Fleet Tech - Tech'!K$8,IF($F75="CV",'Fleet Tech - Tech'!K$9,IF($F75="SS",'Fleet Tech - Tech'!K$10,IF($F75="BBV",'Fleet Tech - Tech'!K$11,IF($F75="CB",'Fleet Tech - Tech'!K$15,IF($F75="AE",'Fleet Tech - Tech'!K$16,IF($F75="IX",'Fleet Tech - Tech'!K$17,IF($F75="BM",'Fleet Tech - Tech'!K$13,IF($F75="AR",'Fleet Tech - Tech'!K$12,IF($F75="SSV",'Fleet Tech - Tech'!K$14,"nil"))))))))))))))),0)</f>
        <v>0</v>
      </c>
      <c r="BE75" s="12">
        <f>IF($H75=3,IF(OR($F75="DDV",$F75="DDG",$F75="DD"),'Fleet Tech - Tech'!L$3,IF($F75="CL",'Fleet Tech - Tech'!L$4,IF($F75="CA",'Fleet Tech - Tech'!L$5,IF($F75="BC",'Fleet Tech - Tech'!L$6,IF($F75="BB",'Fleet Tech - Tech'!L$7,IF($F75="CVL",'Fleet Tech - Tech'!L$8,IF($F75="CV",'Fleet Tech - Tech'!L$9,IF($F75="SS",'Fleet Tech - Tech'!L$10,IF($F75="BBV",'Fleet Tech - Tech'!L$11,IF($F75="CB",'Fleet Tech - Tech'!L$15,IF($F75="AE",'Fleet Tech - Tech'!L$16,IF($F75="IX",'Fleet Tech - Tech'!L$17,IF($F75="BM",'Fleet Tech - Tech'!L$13,IF($F75="AR",'Fleet Tech - Tech'!L$12,IF($F75="SSV",'Fleet Tech - Tech'!L$14,"nil"))))))))))))))),0)</f>
        <v>0</v>
      </c>
      <c r="BF75" s="12">
        <f>IF($H75=3,IF(OR($F75="DDV",$F75="DDG",$F75="DD"),'Fleet Tech - Tech'!M$3,IF($F75="CL",'Fleet Tech - Tech'!M$4,IF($F75="CA",'Fleet Tech - Tech'!M$5,IF($F75="BC",'Fleet Tech - Tech'!M$6,IF($F75="BB",'Fleet Tech - Tech'!M$7,IF($F75="CVL",'Fleet Tech - Tech'!M$8,IF($F75="CV",'Fleet Tech - Tech'!M$9,IF($F75="SS",'Fleet Tech - Tech'!M$10,IF($F75="BBV",'Fleet Tech - Tech'!M$11,IF($F75="CB",'Fleet Tech - Tech'!M$15,IF($F75="AE",'Fleet Tech - Tech'!M$16,IF($F75="IX",'Fleet Tech - Tech'!M$17,IF($F75="BM",'Fleet Tech - Tech'!M$13,IF($F75="AR",'Fleet Tech - Tech'!M$12,IF($F75="SSV",'Fleet Tech - Tech'!M$14,"nil"))))))))))))))),0)</f>
        <v>0</v>
      </c>
      <c r="BG75" s="12">
        <f>IF($H75=3,IF(OR($F75="DDV",$F75="DDG",$F75="DD"),'Fleet Tech - Tech'!N$3,IF($F75="CL",'Fleet Tech - Tech'!N$4,IF($F75="CA",'Fleet Tech - Tech'!N$5,IF($F75="BC",'Fleet Tech - Tech'!N$6,IF($F75="BB",'Fleet Tech - Tech'!N$7,IF($F75="CVL",'Fleet Tech - Tech'!N$8,IF($F75="CV",'Fleet Tech - Tech'!N$9,IF($F75="SS",'Fleet Tech - Tech'!N$10,IF($F75="BBV",'Fleet Tech - Tech'!N$11,IF($F75="CB",'Fleet Tech - Tech'!N$15,IF($F75="AE",'Fleet Tech - Tech'!N$16,IF($F75="IX",'Fleet Tech - Tech'!N$17,IF($F75="BM",'Fleet Tech - Tech'!N$13,IF($F75="AR",'Fleet Tech - Tech'!N$12,IF($F75="SSV",'Fleet Tech - Tech'!N$14,"nil"))))))))))))))),0)</f>
        <v>0</v>
      </c>
      <c r="BH75" s="28"/>
      <c r="BI75" s="28"/>
      <c r="BJ75" s="28"/>
      <c r="BK75" s="28"/>
      <c r="BL75" s="28"/>
      <c r="BM75" s="28"/>
      <c r="BN75" s="28"/>
      <c r="BO75" s="28"/>
      <c r="BP75" s="28"/>
      <c r="BQ75" s="28"/>
      <c r="BR75" s="28"/>
      <c r="BS75" s="28"/>
      <c r="BT75" s="28"/>
      <c r="BU75" s="28"/>
      <c r="BV75" s="28"/>
      <c r="BW75" s="28"/>
      <c r="BX75" s="12">
        <v>-1</v>
      </c>
      <c r="BY75" s="12">
        <v>-1</v>
      </c>
      <c r="BZ75" s="12">
        <v>-1</v>
      </c>
      <c r="CA75" s="12">
        <v>-1</v>
      </c>
      <c r="CB75" s="12">
        <v>-1</v>
      </c>
      <c r="CC75" s="12">
        <v>-1</v>
      </c>
      <c r="CD75" s="12">
        <v>-1</v>
      </c>
      <c r="CE75" s="12">
        <v>-1</v>
      </c>
      <c r="CF75" s="12">
        <v>-1</v>
      </c>
      <c r="CG75" s="12">
        <v>-1</v>
      </c>
      <c r="CH75" s="12">
        <v>-1</v>
      </c>
      <c r="CI75" s="12">
        <v>-1</v>
      </c>
      <c r="CJ75" s="47"/>
      <c r="CK75" s="48">
        <f>IF(BX75=5,320,IF(BX75=4,195,IF(BX75=3,132,IF(BX75=2,90,IF(BX75=1,58,IF(BX75=-1,0,35))))))</f>
        <v>0</v>
      </c>
      <c r="CL75" s="48">
        <f>IF(BX75=5,20,IF(BX75=4,15,IF(BX75=3,12,IF(BX75=2,10,IF(BX75=1,8,IF(BX75=-1,0,5))))))</f>
        <v>0</v>
      </c>
      <c r="CM75" s="48">
        <f>IF(BZ75=5,320,IF(BZ75=4,195,IF(BZ75=3,132,IF(BZ75=2,90,IF(BZ75=1,58,IF(BZ75=-1,0,35))))))</f>
        <v>0</v>
      </c>
      <c r="CN75" s="48">
        <f>IF(BZ75=5,20,IF(BZ75=4,15,IF(BZ75=3,12,IF(BZ75=2,10,IF(BZ75=1,8,IF(BZ75=-1,0,5))))))</f>
        <v>0</v>
      </c>
      <c r="CO75" s="48">
        <f>IF(CB75=5,320,IF(CB75=4,195,IF(CB75=3,132,IF(CB75=2,90,IF(CB75=1,58,IF(CB75=-1,0,35))))))</f>
        <v>0</v>
      </c>
      <c r="CP75" s="48">
        <f>IF(CB75=5,20,IF(CB75=4,15,IF(CB75=3,12,IF(CB75=2,10,IF(CB75=1,8,IF(CB75=-1,0,5))))))</f>
        <v>0</v>
      </c>
      <c r="CQ75" s="48">
        <f>IF(CD75=5,320,IF(CD75=4,195,IF(CD75=3,132,IF(CD75=2,90,IF(CD75=1,58,IF(CD75=-1,0,35))))))</f>
        <v>0</v>
      </c>
      <c r="CR75" s="48">
        <f>IF(CD75=5,20,IF(CD75=4,15,IF(CD75=3,12,IF(CD75=2,10,IF(CD75=1,8,IF(CD75=-1,0,5))))))</f>
        <v>0</v>
      </c>
      <c r="CS75" s="48">
        <f>IF(CF75=5,320,IF(CF75=4,195,IF(CF75=3,132,IF(CF75=2,90,IF(CF75=1,58,IF(CF75=-1,0,35))))))</f>
        <v>0</v>
      </c>
      <c r="CT75" s="48">
        <f>IF(CF75=5,20,IF(CF75=4,15,IF(CF75=3,12,IF(CF75=2,10,IF(CF75=1,8,IF(CF75=-1,0,5))))))</f>
        <v>0</v>
      </c>
      <c r="CU75" s="48">
        <f>IF(CH75=5,320,IF(CH75=4,195,IF(CH75=3,132,IF(CH75=2,90,IF(CH75=1,58,IF(CH75=-1,0,35))))))</f>
        <v>0</v>
      </c>
      <c r="CV75" s="48">
        <f>IF(CH75=5,20,IF(CH75=4,15,IF(CH75=3,12,IF(CH75=2,10,IF(CH75=1,8,IF(CH75=-1,0,5))))))</f>
        <v>0</v>
      </c>
      <c r="CW75" s="48">
        <f>IF(BY75&gt;10,(BY75/10)-ROUNDDOWN(BY75/10,0),0)+IF(CA75&gt;10,(CA75/10)-ROUNDDOWN(CA75/10,0),0)+IF(CC75&gt;10,(CC75/10)-ROUNDDOWN(CC75/10,0),0)+IF(CE75&gt;10,(CE75/10)-ROUNDDOWN(CE75/10,0),0)+IF(CG75&gt;10,(CG75/10)-ROUNDDOWN(CG75/10,0),0)+IF(CI75&gt;10,(CI75/10)-ROUNDDOWN(CI75/10,0),0)</f>
        <v>0</v>
      </c>
      <c r="CX75" s="48">
        <f>1+(CW75/10)</f>
        <v>1</v>
      </c>
    </row>
    <row r="76" ht="20.05" customHeight="1">
      <c r="A76" t="s" s="43">
        <v>355</v>
      </c>
      <c r="B76" s="49"/>
      <c r="C76" t="s" s="45">
        <v>279</v>
      </c>
      <c r="D76" s="13">
        <v>7</v>
      </c>
      <c r="E76" t="s" s="15">
        <v>232</v>
      </c>
      <c r="F76" t="s" s="15">
        <v>233</v>
      </c>
      <c r="G76" t="s" s="15">
        <v>314</v>
      </c>
      <c r="H76" s="12">
        <v>2</v>
      </c>
      <c r="I76" t="s" s="15">
        <v>235</v>
      </c>
      <c r="J76" s="12">
        <v>58</v>
      </c>
      <c r="K76" t="s" s="14">
        <v>236</v>
      </c>
      <c r="L76" t="s" s="15">
        <v>265</v>
      </c>
      <c r="M76" t="s" s="15">
        <v>27</v>
      </c>
      <c r="N76" s="46">
        <f>ROUND((SUM(AA76,T76:Y76,AC76:AE76,Z76*10)-AB76*15)*(IF(K76="Heavy",0.15,IF(K76="Medium",0,IF(K76="Light",-0.15,10)))+1),0)</f>
        <v>0</v>
      </c>
      <c r="O76" s="50"/>
      <c r="P76" s="46">
        <f>ROUNDDOWN((BI76+AU76+AG76)/5,0)+(BJ76+AV76+AH76)+(BN76+AZ76+AL76)+(BO76+BA76+AM76)+(BK76+AW76+AI76)+(BS76+BE76+AQ76)+(BL76+AX76+AJ76)+(BQ76+BC76+AO76)+(2*((BT76+BF76+AR76)+(BU76+BG76+AS76)))+(CK76+CM76+CO76+CQ76+CS76+CU76)+(CL76*BY76)+(CN76*CA76)+(CP76+CC76)+(CR76+CE76)+(CT76+CG76)+(CV76+CI76)+BV76</f>
        <v>-4</v>
      </c>
      <c r="Q76" s="46">
        <f>ROUNDDOWN(((S76/5)+T76+X76+Y76+U76+AC76+V76+AA76+(2*(AD76+AE76))+CK76+CM76+CO76+CQ76+CS76+CU76+(CL76*BX76)+(CN76*BZ76)+(CP76*CB76)+(CR76*CD76)+(CT76*CF76)+(CV76*CH76))*CX76,0)</f>
        <v>0</v>
      </c>
      <c r="R76" s="46">
        <f>ROUNDDOWN(AVERAGE(P76:Q76),0)</f>
        <v>-2</v>
      </c>
      <c r="S76" s="12">
        <f>AG76+AU76+BI76</f>
        <v>0</v>
      </c>
      <c r="T76" s="12">
        <f>AH76+AV76+BJ76</f>
        <v>0</v>
      </c>
      <c r="U76" s="12">
        <f>AI76+AW76+BK76</f>
        <v>0</v>
      </c>
      <c r="V76" s="12">
        <f>AJ76+AX76+BL76</f>
        <v>0</v>
      </c>
      <c r="W76" s="12">
        <f>AK76+AY76+BM76</f>
        <v>0</v>
      </c>
      <c r="X76" s="12">
        <f>AL76+AZ76+BN76</f>
        <v>0</v>
      </c>
      <c r="Y76" s="12">
        <f>AM76+BA76+BO76</f>
        <v>0</v>
      </c>
      <c r="Z76" s="12">
        <f>AN76+BB76+BP76</f>
        <v>0</v>
      </c>
      <c r="AA76" s="12">
        <f>AO76+BC76+BQ76</f>
        <v>0</v>
      </c>
      <c r="AB76" s="12">
        <f>AP76+BD76+BR76</f>
        <v>0</v>
      </c>
      <c r="AC76" s="12">
        <f>AQ76+BE76+BS76</f>
        <v>0</v>
      </c>
      <c r="AD76" s="12">
        <f>AR76+BF76+BT76</f>
        <v>0</v>
      </c>
      <c r="AE76" s="12">
        <f>AS76+BG76+BU76</f>
        <v>0</v>
      </c>
      <c r="AF76" s="28"/>
      <c r="AG76" s="28"/>
      <c r="AH76" s="28"/>
      <c r="AI76" s="28"/>
      <c r="AJ76" s="28"/>
      <c r="AK76" s="28"/>
      <c r="AL76" s="28"/>
      <c r="AM76" s="28"/>
      <c r="AN76" s="28"/>
      <c r="AO76" s="28"/>
      <c r="AP76" s="28"/>
      <c r="AQ76" s="28"/>
      <c r="AR76" s="28"/>
      <c r="AS76" s="28"/>
      <c r="AT76" s="28"/>
      <c r="AU76" s="12">
        <f>IF($H76=3,IF(OR($F76="DDV",$F76="DDG",$F76="DD"),'Fleet Tech - Tech'!B$3,IF($F76="CL",'Fleet Tech - Tech'!B$4,IF($F76="CA",'Fleet Tech - Tech'!B$5,IF($F76="BC",'Fleet Tech - Tech'!B$6,IF($F76="BB",'Fleet Tech - Tech'!B$7,IF($F76="CVL",'Fleet Tech - Tech'!B$8,IF($F76="CV",'Fleet Tech - Tech'!B$9,IF($F76="SS",'Fleet Tech - Tech'!B$10,IF($F76="BBV",'Fleet Tech - Tech'!B$11,IF($F76="CB",'Fleet Tech - Tech'!B$15,IF($F76="AE",'Fleet Tech - Tech'!B$16,IF($F76="IX",'Fleet Tech - Tech'!B$17,IF($F76="BM",'Fleet Tech - Tech'!B$13,IF($F76="AR",'Fleet Tech - Tech'!B$12,IF($F76="SSV",'Fleet Tech - Tech'!B$14,"nil"))))))))))))))),0)</f>
        <v>0</v>
      </c>
      <c r="AV76" s="12">
        <f>IF($H76=3,IF(OR($F76="DDV",$F76="DDG",$F76="DD"),'Fleet Tech - Tech'!C$3,IF($F76="CL",'Fleet Tech - Tech'!C$4,IF($F76="CA",'Fleet Tech - Tech'!C$5,IF($F76="BC",'Fleet Tech - Tech'!C$6,IF($F76="BB",'Fleet Tech - Tech'!C$7,IF($F76="CVL",'Fleet Tech - Tech'!C$8,IF($F76="CV",'Fleet Tech - Tech'!C$9,IF($F76="SS",'Fleet Tech - Tech'!C$10,IF($F76="BBV",'Fleet Tech - Tech'!C$11,IF($F76="CB",'Fleet Tech - Tech'!C$15,IF($F76="AE",'Fleet Tech - Tech'!C$16,IF($F76="IX",'Fleet Tech - Tech'!C$17,IF($F76="BM",'Fleet Tech - Tech'!C$13,IF($F76="AR",'Fleet Tech - Tech'!C$12,IF($F76="SSV",'Fleet Tech - Tech'!C$14,"nil"))))))))))))))),0)</f>
        <v>0</v>
      </c>
      <c r="AW76" s="12">
        <f>IF($H76=3,IF(OR($F76="DDV",$F76="DDG",$F76="DD"),'Fleet Tech - Tech'!D$3,IF($F76="CL",'Fleet Tech - Tech'!D$4,IF($F76="CA",'Fleet Tech - Tech'!D$5,IF($F76="BC",'Fleet Tech - Tech'!D$6,IF($F76="BB",'Fleet Tech - Tech'!D$7,IF($F76="CVL",'Fleet Tech - Tech'!D$8,IF($F76="CV",'Fleet Tech - Tech'!D$9,IF($F76="SS",'Fleet Tech - Tech'!D$10,IF($F76="BBV",'Fleet Tech - Tech'!D$11,IF($F76="CB",'Fleet Tech - Tech'!D$15,IF($F76="AE",'Fleet Tech - Tech'!D$16,IF($F76="IX",'Fleet Tech - Tech'!D$17,IF($F76="BM",'Fleet Tech - Tech'!D$13,IF($F76="AR",'Fleet Tech - Tech'!D$12,IF($F76="SSV",'Fleet Tech - Tech'!D$14,"nil"))))))))))))))),0)</f>
        <v>0</v>
      </c>
      <c r="AX76" s="12">
        <f>IF($H76=3,IF(OR($F76="DDV",$F76="DDG",$F76="DD"),'Fleet Tech - Tech'!E$3,IF($F76="CL",'Fleet Tech - Tech'!E$4,IF($F76="CA",'Fleet Tech - Tech'!E$5,IF($F76="BC",'Fleet Tech - Tech'!E$6,IF($F76="BB",'Fleet Tech - Tech'!E$7,IF($F76="CVL",'Fleet Tech - Tech'!E$8,IF($F76="CV",'Fleet Tech - Tech'!E$9,IF($F76="SS",'Fleet Tech - Tech'!E$10,IF($F76="BBV",'Fleet Tech - Tech'!E$11,IF($F76="CB",'Fleet Tech - Tech'!E$15,IF($F76="AE",'Fleet Tech - Tech'!E$16,IF($F76="IX",'Fleet Tech - Tech'!E$17,IF($F76="BM",'Fleet Tech - Tech'!E$13,IF($F76="AR",'Fleet Tech - Tech'!E$12,IF($F76="SSV",'Fleet Tech - Tech'!E$14,"nil"))))))))))))))),0)</f>
        <v>0</v>
      </c>
      <c r="AY76" s="12">
        <f>IF($H76=3,IF(OR($F76="DDV",$F76="DDG",$F76="DD"),'Fleet Tech - Tech'!F$3,IF($F76="CL",'Fleet Tech - Tech'!F$4,IF($F76="CA",'Fleet Tech - Tech'!F$5,IF($F76="BC",'Fleet Tech - Tech'!F$6,IF($F76="BB",'Fleet Tech - Tech'!F$7,IF($F76="CVL",'Fleet Tech - Tech'!F$8,IF($F76="CV",'Fleet Tech - Tech'!F$9,IF($F76="SS",'Fleet Tech - Tech'!F$10,IF($F76="BBV",'Fleet Tech - Tech'!F$11,IF($F76="CB",'Fleet Tech - Tech'!F$15,IF($F76="AE",'Fleet Tech - Tech'!F$16,IF($F76="IX",'Fleet Tech - Tech'!F$17,IF($F76="BM",'Fleet Tech - Tech'!F$13,IF($F76="AR",'Fleet Tech - Tech'!F$12,IF($F76="SSV",'Fleet Tech - Tech'!F$14,"nil"))))))))))))))),0)</f>
        <v>0</v>
      </c>
      <c r="AZ76" s="12">
        <f>IF($H76=3,IF(OR($F76="DDV",$F76="DDG",$F76="DD"),'Fleet Tech - Tech'!G$3,IF($F76="CL",'Fleet Tech - Tech'!G$4,IF($F76="CA",'Fleet Tech - Tech'!G$5,IF($F76="BC",'Fleet Tech - Tech'!G$6,IF($F76="BB",'Fleet Tech - Tech'!G$7,IF($F76="CVL",'Fleet Tech - Tech'!G$8,IF($F76="CV",'Fleet Tech - Tech'!G$9,IF($F76="SS",'Fleet Tech - Tech'!G$10,IF($F76="BBV",'Fleet Tech - Tech'!G$11,IF($F76="CB",'Fleet Tech - Tech'!G$15,IF($F76="AE",'Fleet Tech - Tech'!G$16,IF($F76="IX",'Fleet Tech - Tech'!G$17,IF($F76="BM",'Fleet Tech - Tech'!G$13,IF($F76="AR",'Fleet Tech - Tech'!G$12,IF($F76="SSV",'Fleet Tech - Tech'!G$14,"nil"))))))))))))))),0)</f>
        <v>0</v>
      </c>
      <c r="BA76" s="12">
        <f>IF($H76=3,IF(OR($F76="DDV",$F76="DDG",$F76="DD"),'Fleet Tech - Tech'!H$3,IF($F76="CL",'Fleet Tech - Tech'!H$4,IF($F76="CA",'Fleet Tech - Tech'!H$5,IF($F76="BC",'Fleet Tech - Tech'!H$6,IF($F76="BB",'Fleet Tech - Tech'!H$7,IF($F76="CVL",'Fleet Tech - Tech'!H$8,IF($F76="CV",'Fleet Tech - Tech'!H$9,IF($F76="SS",'Fleet Tech - Tech'!H$10,IF($F76="BBV",'Fleet Tech - Tech'!H$11,IF($F76="CB",'Fleet Tech - Tech'!H$15,IF($F76="AE",'Fleet Tech - Tech'!H$16,IF($F76="IX",'Fleet Tech - Tech'!H$17,IF($F76="BM",'Fleet Tech - Tech'!H$13,IF($F76="AR",'Fleet Tech - Tech'!H$12,IF($F76="SSV",'Fleet Tech - Tech'!H$14,"nil"))))))))))))))),0)</f>
        <v>0</v>
      </c>
      <c r="BB76" s="12">
        <f>IF($H76=3,IF(OR($F76="DDV",$F76="DDG",$F76="DD"),'Fleet Tech - Tech'!I$3,IF($F76="CL",'Fleet Tech - Tech'!I$4,IF($F76="CA",'Fleet Tech - Tech'!I$5,IF($F76="BC",'Fleet Tech - Tech'!I$6,IF($F76="BB",'Fleet Tech - Tech'!I$7,IF($F76="CVL",'Fleet Tech - Tech'!I$8,IF($F76="CV",'Fleet Tech - Tech'!I$9,IF($F76="SS",'Fleet Tech - Tech'!I$10,IF($F76="BBV",'Fleet Tech - Tech'!I$11,IF($F76="CB",'Fleet Tech - Tech'!I$15,IF($F76="AE",'Fleet Tech - Tech'!I$16,IF($F76="IX",'Fleet Tech - Tech'!I$17,IF($F76="BM",'Fleet Tech - Tech'!I$13,IF($F76="AR",'Fleet Tech - Tech'!I$12,IF($F76="SSV",'Fleet Tech - Tech'!I$14,"nil"))))))))))))))),0)</f>
        <v>0</v>
      </c>
      <c r="BC76" s="12">
        <f>IF($H76=3,IF(OR($F76="DDV",$F76="DDG",$F76="DD"),'Fleet Tech - Tech'!J$3,IF($F76="CL",'Fleet Tech - Tech'!J$4,IF($F76="CA",'Fleet Tech - Tech'!J$5,IF($F76="BC",'Fleet Tech - Tech'!J$6,IF($F76="BB",'Fleet Tech - Tech'!J$7,IF($F76="CVL",'Fleet Tech - Tech'!J$8,IF($F76="CV",'Fleet Tech - Tech'!J$9,IF($F76="SS",'Fleet Tech - Tech'!J$10,IF($F76="BBV",'Fleet Tech - Tech'!J$11,IF($F76="CB",'Fleet Tech - Tech'!J$15,IF($F76="AE",'Fleet Tech - Tech'!J$16,IF($F76="IX",'Fleet Tech - Tech'!J$17,IF($F76="BM",'Fleet Tech - Tech'!J$13,IF($F76="AR",'Fleet Tech - Tech'!J$12,IF($F76="SSV",'Fleet Tech - Tech'!J$14,"nil"))))))))))))))),0)</f>
        <v>0</v>
      </c>
      <c r="BD76" s="12">
        <f>IF($H76=3,IF(OR($F76="DDV",$F76="DDG",$F76="DD"),'Fleet Tech - Tech'!K$3,IF($F76="CL",'Fleet Tech - Tech'!K$4,IF($F76="CA",'Fleet Tech - Tech'!K$5,IF($F76="BC",'Fleet Tech - Tech'!K$6,IF($F76="BB",'Fleet Tech - Tech'!K$7,IF($F76="CVL",'Fleet Tech - Tech'!K$8,IF($F76="CV",'Fleet Tech - Tech'!K$9,IF($F76="SS",'Fleet Tech - Tech'!K$10,IF($F76="BBV",'Fleet Tech - Tech'!K$11,IF($F76="CB",'Fleet Tech - Tech'!K$15,IF($F76="AE",'Fleet Tech - Tech'!K$16,IF($F76="IX",'Fleet Tech - Tech'!K$17,IF($F76="BM",'Fleet Tech - Tech'!K$13,IF($F76="AR",'Fleet Tech - Tech'!K$12,IF($F76="SSV",'Fleet Tech - Tech'!K$14,"nil"))))))))))))))),0)</f>
        <v>0</v>
      </c>
      <c r="BE76" s="12">
        <f>IF($H76=3,IF(OR($F76="DDV",$F76="DDG",$F76="DD"),'Fleet Tech - Tech'!L$3,IF($F76="CL",'Fleet Tech - Tech'!L$4,IF($F76="CA",'Fleet Tech - Tech'!L$5,IF($F76="BC",'Fleet Tech - Tech'!L$6,IF($F76="BB",'Fleet Tech - Tech'!L$7,IF($F76="CVL",'Fleet Tech - Tech'!L$8,IF($F76="CV",'Fleet Tech - Tech'!L$9,IF($F76="SS",'Fleet Tech - Tech'!L$10,IF($F76="BBV",'Fleet Tech - Tech'!L$11,IF($F76="CB",'Fleet Tech - Tech'!L$15,IF($F76="AE",'Fleet Tech - Tech'!L$16,IF($F76="IX",'Fleet Tech - Tech'!L$17,IF($F76="BM",'Fleet Tech - Tech'!L$13,IF($F76="AR",'Fleet Tech - Tech'!L$12,IF($F76="SSV",'Fleet Tech - Tech'!L$14,"nil"))))))))))))))),0)</f>
        <v>0</v>
      </c>
      <c r="BF76" s="12">
        <f>IF($H76=3,IF(OR($F76="DDV",$F76="DDG",$F76="DD"),'Fleet Tech - Tech'!M$3,IF($F76="CL",'Fleet Tech - Tech'!M$4,IF($F76="CA",'Fleet Tech - Tech'!M$5,IF($F76="BC",'Fleet Tech - Tech'!M$6,IF($F76="BB",'Fleet Tech - Tech'!M$7,IF($F76="CVL",'Fleet Tech - Tech'!M$8,IF($F76="CV",'Fleet Tech - Tech'!M$9,IF($F76="SS",'Fleet Tech - Tech'!M$10,IF($F76="BBV",'Fleet Tech - Tech'!M$11,IF($F76="CB",'Fleet Tech - Tech'!M$15,IF($F76="AE",'Fleet Tech - Tech'!M$16,IF($F76="IX",'Fleet Tech - Tech'!M$17,IF($F76="BM",'Fleet Tech - Tech'!M$13,IF($F76="AR",'Fleet Tech - Tech'!M$12,IF($F76="SSV",'Fleet Tech - Tech'!M$14,"nil"))))))))))))))),0)</f>
        <v>0</v>
      </c>
      <c r="BG76" s="12">
        <f>IF($H76=3,IF(OR($F76="DDV",$F76="DDG",$F76="DD"),'Fleet Tech - Tech'!N$3,IF($F76="CL",'Fleet Tech - Tech'!N$4,IF($F76="CA",'Fleet Tech - Tech'!N$5,IF($F76="BC",'Fleet Tech - Tech'!N$6,IF($F76="BB",'Fleet Tech - Tech'!N$7,IF($F76="CVL",'Fleet Tech - Tech'!N$8,IF($F76="CV",'Fleet Tech - Tech'!N$9,IF($F76="SS",'Fleet Tech - Tech'!N$10,IF($F76="BBV",'Fleet Tech - Tech'!N$11,IF($F76="CB",'Fleet Tech - Tech'!N$15,IF($F76="AE",'Fleet Tech - Tech'!N$16,IF($F76="IX",'Fleet Tech - Tech'!N$17,IF($F76="BM",'Fleet Tech - Tech'!N$13,IF($F76="AR",'Fleet Tech - Tech'!N$12,IF($F76="SSV",'Fleet Tech - Tech'!N$14,"nil"))))))))))))))),0)</f>
        <v>0</v>
      </c>
      <c r="BH76" s="28"/>
      <c r="BI76" s="28"/>
      <c r="BJ76" s="28"/>
      <c r="BK76" s="28"/>
      <c r="BL76" s="28"/>
      <c r="BM76" s="28"/>
      <c r="BN76" s="28"/>
      <c r="BO76" s="28"/>
      <c r="BP76" s="28"/>
      <c r="BQ76" s="28"/>
      <c r="BR76" s="28"/>
      <c r="BS76" s="28"/>
      <c r="BT76" s="28"/>
      <c r="BU76" s="28"/>
      <c r="BV76" s="28"/>
      <c r="BW76" s="28"/>
      <c r="BX76" s="12">
        <v>-1</v>
      </c>
      <c r="BY76" s="12">
        <v>-1</v>
      </c>
      <c r="BZ76" s="12">
        <v>-1</v>
      </c>
      <c r="CA76" s="12">
        <v>-1</v>
      </c>
      <c r="CB76" s="12">
        <v>-1</v>
      </c>
      <c r="CC76" s="12">
        <v>-1</v>
      </c>
      <c r="CD76" s="12">
        <v>-1</v>
      </c>
      <c r="CE76" s="12">
        <v>-1</v>
      </c>
      <c r="CF76" s="12">
        <v>-1</v>
      </c>
      <c r="CG76" s="12">
        <v>-1</v>
      </c>
      <c r="CH76" s="12">
        <v>-1</v>
      </c>
      <c r="CI76" s="12">
        <v>-1</v>
      </c>
      <c r="CJ76" s="47"/>
      <c r="CK76" s="48">
        <f>IF(BX76=5,320,IF(BX76=4,195,IF(BX76=3,132,IF(BX76=2,90,IF(BX76=1,58,IF(BX76=-1,0,35))))))</f>
        <v>0</v>
      </c>
      <c r="CL76" s="48">
        <f>IF(BX76=5,20,IF(BX76=4,15,IF(BX76=3,12,IF(BX76=2,10,IF(BX76=1,8,IF(BX76=-1,0,5))))))</f>
        <v>0</v>
      </c>
      <c r="CM76" s="48">
        <f>IF(BZ76=5,320,IF(BZ76=4,195,IF(BZ76=3,132,IF(BZ76=2,90,IF(BZ76=1,58,IF(BZ76=-1,0,35))))))</f>
        <v>0</v>
      </c>
      <c r="CN76" s="48">
        <f>IF(BZ76=5,20,IF(BZ76=4,15,IF(BZ76=3,12,IF(BZ76=2,10,IF(BZ76=1,8,IF(BZ76=-1,0,5))))))</f>
        <v>0</v>
      </c>
      <c r="CO76" s="48">
        <f>IF(CB76=5,320,IF(CB76=4,195,IF(CB76=3,132,IF(CB76=2,90,IF(CB76=1,58,IF(CB76=-1,0,35))))))</f>
        <v>0</v>
      </c>
      <c r="CP76" s="48">
        <f>IF(CB76=5,20,IF(CB76=4,15,IF(CB76=3,12,IF(CB76=2,10,IF(CB76=1,8,IF(CB76=-1,0,5))))))</f>
        <v>0</v>
      </c>
      <c r="CQ76" s="48">
        <f>IF(CD76=5,320,IF(CD76=4,195,IF(CD76=3,132,IF(CD76=2,90,IF(CD76=1,58,IF(CD76=-1,0,35))))))</f>
        <v>0</v>
      </c>
      <c r="CR76" s="48">
        <f>IF(CD76=5,20,IF(CD76=4,15,IF(CD76=3,12,IF(CD76=2,10,IF(CD76=1,8,IF(CD76=-1,0,5))))))</f>
        <v>0</v>
      </c>
      <c r="CS76" s="48">
        <f>IF(CF76=5,320,IF(CF76=4,195,IF(CF76=3,132,IF(CF76=2,90,IF(CF76=1,58,IF(CF76=-1,0,35))))))</f>
        <v>0</v>
      </c>
      <c r="CT76" s="48">
        <f>IF(CF76=5,20,IF(CF76=4,15,IF(CF76=3,12,IF(CF76=2,10,IF(CF76=1,8,IF(CF76=-1,0,5))))))</f>
        <v>0</v>
      </c>
      <c r="CU76" s="48">
        <f>IF(CH76=5,320,IF(CH76=4,195,IF(CH76=3,132,IF(CH76=2,90,IF(CH76=1,58,IF(CH76=-1,0,35))))))</f>
        <v>0</v>
      </c>
      <c r="CV76" s="48">
        <f>IF(CH76=5,20,IF(CH76=4,15,IF(CH76=3,12,IF(CH76=2,10,IF(CH76=1,8,IF(CH76=-1,0,5))))))</f>
        <v>0</v>
      </c>
      <c r="CW76" s="48">
        <f>IF(BY76&gt;10,(BY76/10)-ROUNDDOWN(BY76/10,0),0)+IF(CA76&gt;10,(CA76/10)-ROUNDDOWN(CA76/10,0),0)+IF(CC76&gt;10,(CC76/10)-ROUNDDOWN(CC76/10,0),0)+IF(CE76&gt;10,(CE76/10)-ROUNDDOWN(CE76/10,0),0)+IF(CG76&gt;10,(CG76/10)-ROUNDDOWN(CG76/10,0),0)+IF(CI76&gt;10,(CI76/10)-ROUNDDOWN(CI76/10,0),0)</f>
        <v>0</v>
      </c>
      <c r="CX76" s="48">
        <f>1+(CW76/10)</f>
        <v>1</v>
      </c>
    </row>
    <row r="77" ht="20.05" customHeight="1">
      <c r="A77" t="s" s="43">
        <v>356</v>
      </c>
      <c r="B77" s="49"/>
      <c r="C77" t="s" s="45">
        <v>279</v>
      </c>
      <c r="D77" s="13">
        <v>7</v>
      </c>
      <c r="E77" t="s" s="15">
        <v>232</v>
      </c>
      <c r="F77" t="s" s="15">
        <v>275</v>
      </c>
      <c r="G77" t="s" s="15">
        <v>282</v>
      </c>
      <c r="H77" s="12">
        <v>2</v>
      </c>
      <c r="I77" t="s" s="15">
        <v>279</v>
      </c>
      <c r="J77" s="12">
        <v>57</v>
      </c>
      <c r="K77" t="s" s="14">
        <v>236</v>
      </c>
      <c r="L77" t="s" s="15">
        <v>265</v>
      </c>
      <c r="M77" t="s" s="15">
        <v>27</v>
      </c>
      <c r="N77" s="46">
        <f>ROUND((SUM(AA77,T77:Y77,AC77:AE77,Z77*10)-AB77*15)*(IF(K77="Heavy",0.15,IF(K77="Medium",0,IF(K77="Light",-0.15,10)))+1),0)</f>
        <v>0</v>
      </c>
      <c r="O77" s="50"/>
      <c r="P77" s="46">
        <f>ROUNDDOWN((BI77+AU77+AG77)/5,0)+(BJ77+AV77+AH77)+(BN77+AZ77+AL77)+(BO77+BA77+AM77)+(BK77+AW77+AI77)+(BS77+BE77+AQ77)+(BL77+AX77+AJ77)+(BQ77+BC77+AO77)+(2*((BT77+BF77+AR77)+(BU77+BG77+AS77)))+(CK77+CM77+CO77+CQ77+CS77+CU77)+(CL77*BY77)+(CN77*CA77)+(CP77+CC77)+(CR77+CE77)+(CT77+CG77)+(CV77+CI77)+BV77</f>
        <v>-4</v>
      </c>
      <c r="Q77" s="46">
        <f>ROUNDDOWN(((S77/5)+T77+X77+Y77+U77+AC77+V77+AA77+(2*(AD77+AE77))+CK77+CM77+CO77+CQ77+CS77+CU77+(CL77*BX77)+(CN77*BZ77)+(CP77*CB77)+(CR77*CD77)+(CT77*CF77)+(CV77*CH77))*CX77,0)</f>
        <v>0</v>
      </c>
      <c r="R77" s="46">
        <f>ROUNDDOWN(AVERAGE(P77:Q77),0)</f>
        <v>-2</v>
      </c>
      <c r="S77" s="12">
        <f>AG77+AU77+BI77</f>
        <v>0</v>
      </c>
      <c r="T77" s="12">
        <f>AH77+AV77+BJ77</f>
        <v>0</v>
      </c>
      <c r="U77" s="12">
        <f>AI77+AW77+BK77</f>
        <v>0</v>
      </c>
      <c r="V77" s="12">
        <f>AJ77+AX77+BL77</f>
        <v>0</v>
      </c>
      <c r="W77" s="12">
        <f>AK77+AY77+BM77</f>
        <v>0</v>
      </c>
      <c r="X77" s="12">
        <f>AL77+AZ77+BN77</f>
        <v>0</v>
      </c>
      <c r="Y77" s="12">
        <f>AM77+BA77+BO77</f>
        <v>0</v>
      </c>
      <c r="Z77" s="12">
        <f>AN77+BB77+BP77</f>
        <v>0</v>
      </c>
      <c r="AA77" s="12">
        <f>AO77+BC77+BQ77</f>
        <v>0</v>
      </c>
      <c r="AB77" s="12">
        <f>AP77+BD77+BR77</f>
        <v>0</v>
      </c>
      <c r="AC77" s="12">
        <f>AQ77+BE77+BS77</f>
        <v>0</v>
      </c>
      <c r="AD77" s="12">
        <f>AR77+BF77+BT77</f>
        <v>0</v>
      </c>
      <c r="AE77" s="12">
        <f>AS77+BG77+BU77</f>
        <v>0</v>
      </c>
      <c r="AF77" s="28"/>
      <c r="AG77" s="28"/>
      <c r="AH77" s="28"/>
      <c r="AI77" s="28"/>
      <c r="AJ77" s="28"/>
      <c r="AK77" s="28"/>
      <c r="AL77" s="28"/>
      <c r="AM77" s="28"/>
      <c r="AN77" s="28"/>
      <c r="AO77" s="28"/>
      <c r="AP77" s="28"/>
      <c r="AQ77" s="28"/>
      <c r="AR77" s="28"/>
      <c r="AS77" s="28"/>
      <c r="AT77" s="28"/>
      <c r="AU77" s="12">
        <f>IF($H77=3,IF(OR($F77="DDV",$F77="DDG",$F77="DD"),'Fleet Tech - Tech'!B$3,IF($F77="CL",'Fleet Tech - Tech'!B$4,IF($F77="CA",'Fleet Tech - Tech'!B$5,IF($F77="BC",'Fleet Tech - Tech'!B$6,IF($F77="BB",'Fleet Tech - Tech'!B$7,IF($F77="CVL",'Fleet Tech - Tech'!B$8,IF($F77="CV",'Fleet Tech - Tech'!B$9,IF($F77="SS",'Fleet Tech - Tech'!B$10,IF($F77="BBV",'Fleet Tech - Tech'!B$11,IF($F77="CB",'Fleet Tech - Tech'!B$15,IF($F77="AE",'Fleet Tech - Tech'!B$16,IF($F77="IX",'Fleet Tech - Tech'!B$17,IF($F77="BM",'Fleet Tech - Tech'!B$13,IF($F77="AR",'Fleet Tech - Tech'!B$12,IF($F77="SSV",'Fleet Tech - Tech'!B$14,"nil"))))))))))))))),0)</f>
        <v>0</v>
      </c>
      <c r="AV77" s="12">
        <f>IF($H77=3,IF(OR($F77="DDV",$F77="DDG",$F77="DD"),'Fleet Tech - Tech'!C$3,IF($F77="CL",'Fleet Tech - Tech'!C$4,IF($F77="CA",'Fleet Tech - Tech'!C$5,IF($F77="BC",'Fleet Tech - Tech'!C$6,IF($F77="BB",'Fleet Tech - Tech'!C$7,IF($F77="CVL",'Fleet Tech - Tech'!C$8,IF($F77="CV",'Fleet Tech - Tech'!C$9,IF($F77="SS",'Fleet Tech - Tech'!C$10,IF($F77="BBV",'Fleet Tech - Tech'!C$11,IF($F77="CB",'Fleet Tech - Tech'!C$15,IF($F77="AE",'Fleet Tech - Tech'!C$16,IF($F77="IX",'Fleet Tech - Tech'!C$17,IF($F77="BM",'Fleet Tech - Tech'!C$13,IF($F77="AR",'Fleet Tech - Tech'!C$12,IF($F77="SSV",'Fleet Tech - Tech'!C$14,"nil"))))))))))))))),0)</f>
        <v>0</v>
      </c>
      <c r="AW77" s="12">
        <f>IF($H77=3,IF(OR($F77="DDV",$F77="DDG",$F77="DD"),'Fleet Tech - Tech'!D$3,IF($F77="CL",'Fleet Tech - Tech'!D$4,IF($F77="CA",'Fleet Tech - Tech'!D$5,IF($F77="BC",'Fleet Tech - Tech'!D$6,IF($F77="BB",'Fleet Tech - Tech'!D$7,IF($F77="CVL",'Fleet Tech - Tech'!D$8,IF($F77="CV",'Fleet Tech - Tech'!D$9,IF($F77="SS",'Fleet Tech - Tech'!D$10,IF($F77="BBV",'Fleet Tech - Tech'!D$11,IF($F77="CB",'Fleet Tech - Tech'!D$15,IF($F77="AE",'Fleet Tech - Tech'!D$16,IF($F77="IX",'Fleet Tech - Tech'!D$17,IF($F77="BM",'Fleet Tech - Tech'!D$13,IF($F77="AR",'Fleet Tech - Tech'!D$12,IF($F77="SSV",'Fleet Tech - Tech'!D$14,"nil"))))))))))))))),0)</f>
        <v>0</v>
      </c>
      <c r="AX77" s="12">
        <f>IF($H77=3,IF(OR($F77="DDV",$F77="DDG",$F77="DD"),'Fleet Tech - Tech'!E$3,IF($F77="CL",'Fleet Tech - Tech'!E$4,IF($F77="CA",'Fleet Tech - Tech'!E$5,IF($F77="BC",'Fleet Tech - Tech'!E$6,IF($F77="BB",'Fleet Tech - Tech'!E$7,IF($F77="CVL",'Fleet Tech - Tech'!E$8,IF($F77="CV",'Fleet Tech - Tech'!E$9,IF($F77="SS",'Fleet Tech - Tech'!E$10,IF($F77="BBV",'Fleet Tech - Tech'!E$11,IF($F77="CB",'Fleet Tech - Tech'!E$15,IF($F77="AE",'Fleet Tech - Tech'!E$16,IF($F77="IX",'Fleet Tech - Tech'!E$17,IF($F77="BM",'Fleet Tech - Tech'!E$13,IF($F77="AR",'Fleet Tech - Tech'!E$12,IF($F77="SSV",'Fleet Tech - Tech'!E$14,"nil"))))))))))))))),0)</f>
        <v>0</v>
      </c>
      <c r="AY77" s="12">
        <f>IF($H77=3,IF(OR($F77="DDV",$F77="DDG",$F77="DD"),'Fleet Tech - Tech'!F$3,IF($F77="CL",'Fleet Tech - Tech'!F$4,IF($F77="CA",'Fleet Tech - Tech'!F$5,IF($F77="BC",'Fleet Tech - Tech'!F$6,IF($F77="BB",'Fleet Tech - Tech'!F$7,IF($F77="CVL",'Fleet Tech - Tech'!F$8,IF($F77="CV",'Fleet Tech - Tech'!F$9,IF($F77="SS",'Fleet Tech - Tech'!F$10,IF($F77="BBV",'Fleet Tech - Tech'!F$11,IF($F77="CB",'Fleet Tech - Tech'!F$15,IF($F77="AE",'Fleet Tech - Tech'!F$16,IF($F77="IX",'Fleet Tech - Tech'!F$17,IF($F77="BM",'Fleet Tech - Tech'!F$13,IF($F77="AR",'Fleet Tech - Tech'!F$12,IF($F77="SSV",'Fleet Tech - Tech'!F$14,"nil"))))))))))))))),0)</f>
        <v>0</v>
      </c>
      <c r="AZ77" s="12">
        <f>IF($H77=3,IF(OR($F77="DDV",$F77="DDG",$F77="DD"),'Fleet Tech - Tech'!G$3,IF($F77="CL",'Fleet Tech - Tech'!G$4,IF($F77="CA",'Fleet Tech - Tech'!G$5,IF($F77="BC",'Fleet Tech - Tech'!G$6,IF($F77="BB",'Fleet Tech - Tech'!G$7,IF($F77="CVL",'Fleet Tech - Tech'!G$8,IF($F77="CV",'Fleet Tech - Tech'!G$9,IF($F77="SS",'Fleet Tech - Tech'!G$10,IF($F77="BBV",'Fleet Tech - Tech'!G$11,IF($F77="CB",'Fleet Tech - Tech'!G$15,IF($F77="AE",'Fleet Tech - Tech'!G$16,IF($F77="IX",'Fleet Tech - Tech'!G$17,IF($F77="BM",'Fleet Tech - Tech'!G$13,IF($F77="AR",'Fleet Tech - Tech'!G$12,IF($F77="SSV",'Fleet Tech - Tech'!G$14,"nil"))))))))))))))),0)</f>
        <v>0</v>
      </c>
      <c r="BA77" s="12">
        <f>IF($H77=3,IF(OR($F77="DDV",$F77="DDG",$F77="DD"),'Fleet Tech - Tech'!H$3,IF($F77="CL",'Fleet Tech - Tech'!H$4,IF($F77="CA",'Fleet Tech - Tech'!H$5,IF($F77="BC",'Fleet Tech - Tech'!H$6,IF($F77="BB",'Fleet Tech - Tech'!H$7,IF($F77="CVL",'Fleet Tech - Tech'!H$8,IF($F77="CV",'Fleet Tech - Tech'!H$9,IF($F77="SS",'Fleet Tech - Tech'!H$10,IF($F77="BBV",'Fleet Tech - Tech'!H$11,IF($F77="CB",'Fleet Tech - Tech'!H$15,IF($F77="AE",'Fleet Tech - Tech'!H$16,IF($F77="IX",'Fleet Tech - Tech'!H$17,IF($F77="BM",'Fleet Tech - Tech'!H$13,IF($F77="AR",'Fleet Tech - Tech'!H$12,IF($F77="SSV",'Fleet Tech - Tech'!H$14,"nil"))))))))))))))),0)</f>
        <v>0</v>
      </c>
      <c r="BB77" s="12">
        <f>IF($H77=3,IF(OR($F77="DDV",$F77="DDG",$F77="DD"),'Fleet Tech - Tech'!I$3,IF($F77="CL",'Fleet Tech - Tech'!I$4,IF($F77="CA",'Fleet Tech - Tech'!I$5,IF($F77="BC",'Fleet Tech - Tech'!I$6,IF($F77="BB",'Fleet Tech - Tech'!I$7,IF($F77="CVL",'Fleet Tech - Tech'!I$8,IF($F77="CV",'Fleet Tech - Tech'!I$9,IF($F77="SS",'Fleet Tech - Tech'!I$10,IF($F77="BBV",'Fleet Tech - Tech'!I$11,IF($F77="CB",'Fleet Tech - Tech'!I$15,IF($F77="AE",'Fleet Tech - Tech'!I$16,IF($F77="IX",'Fleet Tech - Tech'!I$17,IF($F77="BM",'Fleet Tech - Tech'!I$13,IF($F77="AR",'Fleet Tech - Tech'!I$12,IF($F77="SSV",'Fleet Tech - Tech'!I$14,"nil"))))))))))))))),0)</f>
        <v>0</v>
      </c>
      <c r="BC77" s="12">
        <f>IF($H77=3,IF(OR($F77="DDV",$F77="DDG",$F77="DD"),'Fleet Tech - Tech'!J$3,IF($F77="CL",'Fleet Tech - Tech'!J$4,IF($F77="CA",'Fleet Tech - Tech'!J$5,IF($F77="BC",'Fleet Tech - Tech'!J$6,IF($F77="BB",'Fleet Tech - Tech'!J$7,IF($F77="CVL",'Fleet Tech - Tech'!J$8,IF($F77="CV",'Fleet Tech - Tech'!J$9,IF($F77="SS",'Fleet Tech - Tech'!J$10,IF($F77="BBV",'Fleet Tech - Tech'!J$11,IF($F77="CB",'Fleet Tech - Tech'!J$15,IF($F77="AE",'Fleet Tech - Tech'!J$16,IF($F77="IX",'Fleet Tech - Tech'!J$17,IF($F77="BM",'Fleet Tech - Tech'!J$13,IF($F77="AR",'Fleet Tech - Tech'!J$12,IF($F77="SSV",'Fleet Tech - Tech'!J$14,"nil"))))))))))))))),0)</f>
        <v>0</v>
      </c>
      <c r="BD77" s="12">
        <f>IF($H77=3,IF(OR($F77="DDV",$F77="DDG",$F77="DD"),'Fleet Tech - Tech'!K$3,IF($F77="CL",'Fleet Tech - Tech'!K$4,IF($F77="CA",'Fleet Tech - Tech'!K$5,IF($F77="BC",'Fleet Tech - Tech'!K$6,IF($F77="BB",'Fleet Tech - Tech'!K$7,IF($F77="CVL",'Fleet Tech - Tech'!K$8,IF($F77="CV",'Fleet Tech - Tech'!K$9,IF($F77="SS",'Fleet Tech - Tech'!K$10,IF($F77="BBV",'Fleet Tech - Tech'!K$11,IF($F77="CB",'Fleet Tech - Tech'!K$15,IF($F77="AE",'Fleet Tech - Tech'!K$16,IF($F77="IX",'Fleet Tech - Tech'!K$17,IF($F77="BM",'Fleet Tech - Tech'!K$13,IF($F77="AR",'Fleet Tech - Tech'!K$12,IF($F77="SSV",'Fleet Tech - Tech'!K$14,"nil"))))))))))))))),0)</f>
        <v>0</v>
      </c>
      <c r="BE77" s="12">
        <f>IF($H77=3,IF(OR($F77="DDV",$F77="DDG",$F77="DD"),'Fleet Tech - Tech'!L$3,IF($F77="CL",'Fleet Tech - Tech'!L$4,IF($F77="CA",'Fleet Tech - Tech'!L$5,IF($F77="BC",'Fleet Tech - Tech'!L$6,IF($F77="BB",'Fleet Tech - Tech'!L$7,IF($F77="CVL",'Fleet Tech - Tech'!L$8,IF($F77="CV",'Fleet Tech - Tech'!L$9,IF($F77="SS",'Fleet Tech - Tech'!L$10,IF($F77="BBV",'Fleet Tech - Tech'!L$11,IF($F77="CB",'Fleet Tech - Tech'!L$15,IF($F77="AE",'Fleet Tech - Tech'!L$16,IF($F77="IX",'Fleet Tech - Tech'!L$17,IF($F77="BM",'Fleet Tech - Tech'!L$13,IF($F77="AR",'Fleet Tech - Tech'!L$12,IF($F77="SSV",'Fleet Tech - Tech'!L$14,"nil"))))))))))))))),0)</f>
        <v>0</v>
      </c>
      <c r="BF77" s="12">
        <f>IF($H77=3,IF(OR($F77="DDV",$F77="DDG",$F77="DD"),'Fleet Tech - Tech'!M$3,IF($F77="CL",'Fleet Tech - Tech'!M$4,IF($F77="CA",'Fleet Tech - Tech'!M$5,IF($F77="BC",'Fleet Tech - Tech'!M$6,IF($F77="BB",'Fleet Tech - Tech'!M$7,IF($F77="CVL",'Fleet Tech - Tech'!M$8,IF($F77="CV",'Fleet Tech - Tech'!M$9,IF($F77="SS",'Fleet Tech - Tech'!M$10,IF($F77="BBV",'Fleet Tech - Tech'!M$11,IF($F77="CB",'Fleet Tech - Tech'!M$15,IF($F77="AE",'Fleet Tech - Tech'!M$16,IF($F77="IX",'Fleet Tech - Tech'!M$17,IF($F77="BM",'Fleet Tech - Tech'!M$13,IF($F77="AR",'Fleet Tech - Tech'!M$12,IF($F77="SSV",'Fleet Tech - Tech'!M$14,"nil"))))))))))))))),0)</f>
        <v>0</v>
      </c>
      <c r="BG77" s="12">
        <f>IF($H77=3,IF(OR($F77="DDV",$F77="DDG",$F77="DD"),'Fleet Tech - Tech'!N$3,IF($F77="CL",'Fleet Tech - Tech'!N$4,IF($F77="CA",'Fleet Tech - Tech'!N$5,IF($F77="BC",'Fleet Tech - Tech'!N$6,IF($F77="BB",'Fleet Tech - Tech'!N$7,IF($F77="CVL",'Fleet Tech - Tech'!N$8,IF($F77="CV",'Fleet Tech - Tech'!N$9,IF($F77="SS",'Fleet Tech - Tech'!N$10,IF($F77="BBV",'Fleet Tech - Tech'!N$11,IF($F77="CB",'Fleet Tech - Tech'!N$15,IF($F77="AE",'Fleet Tech - Tech'!N$16,IF($F77="IX",'Fleet Tech - Tech'!N$17,IF($F77="BM",'Fleet Tech - Tech'!N$13,IF($F77="AR",'Fleet Tech - Tech'!N$12,IF($F77="SSV",'Fleet Tech - Tech'!N$14,"nil"))))))))))))))),0)</f>
        <v>0</v>
      </c>
      <c r="BH77" s="28"/>
      <c r="BI77" s="28"/>
      <c r="BJ77" s="28"/>
      <c r="BK77" s="28"/>
      <c r="BL77" s="28"/>
      <c r="BM77" s="28"/>
      <c r="BN77" s="28"/>
      <c r="BO77" s="28"/>
      <c r="BP77" s="28"/>
      <c r="BQ77" s="28"/>
      <c r="BR77" s="28"/>
      <c r="BS77" s="28"/>
      <c r="BT77" s="28"/>
      <c r="BU77" s="28"/>
      <c r="BV77" s="28"/>
      <c r="BW77" s="28"/>
      <c r="BX77" s="12">
        <v>-1</v>
      </c>
      <c r="BY77" s="12">
        <v>-1</v>
      </c>
      <c r="BZ77" s="12">
        <v>-1</v>
      </c>
      <c r="CA77" s="12">
        <v>-1</v>
      </c>
      <c r="CB77" s="12">
        <v>-1</v>
      </c>
      <c r="CC77" s="12">
        <v>-1</v>
      </c>
      <c r="CD77" s="12">
        <v>-1</v>
      </c>
      <c r="CE77" s="12">
        <v>-1</v>
      </c>
      <c r="CF77" s="12">
        <v>-1</v>
      </c>
      <c r="CG77" s="12">
        <v>-1</v>
      </c>
      <c r="CH77" s="12">
        <v>-1</v>
      </c>
      <c r="CI77" s="12">
        <v>-1</v>
      </c>
      <c r="CJ77" s="47"/>
      <c r="CK77" s="48">
        <f>IF(BX77=5,320,IF(BX77=4,195,IF(BX77=3,132,IF(BX77=2,90,IF(BX77=1,58,IF(BX77=-1,0,35))))))</f>
        <v>0</v>
      </c>
      <c r="CL77" s="48">
        <f>IF(BX77=5,20,IF(BX77=4,15,IF(BX77=3,12,IF(BX77=2,10,IF(BX77=1,8,IF(BX77=-1,0,5))))))</f>
        <v>0</v>
      </c>
      <c r="CM77" s="48">
        <f>IF(BZ77=5,320,IF(BZ77=4,195,IF(BZ77=3,132,IF(BZ77=2,90,IF(BZ77=1,58,IF(BZ77=-1,0,35))))))</f>
        <v>0</v>
      </c>
      <c r="CN77" s="48">
        <f>IF(BZ77=5,20,IF(BZ77=4,15,IF(BZ77=3,12,IF(BZ77=2,10,IF(BZ77=1,8,IF(BZ77=-1,0,5))))))</f>
        <v>0</v>
      </c>
      <c r="CO77" s="48">
        <f>IF(CB77=5,320,IF(CB77=4,195,IF(CB77=3,132,IF(CB77=2,90,IF(CB77=1,58,IF(CB77=-1,0,35))))))</f>
        <v>0</v>
      </c>
      <c r="CP77" s="48">
        <f>IF(CB77=5,20,IF(CB77=4,15,IF(CB77=3,12,IF(CB77=2,10,IF(CB77=1,8,IF(CB77=-1,0,5))))))</f>
        <v>0</v>
      </c>
      <c r="CQ77" s="48">
        <f>IF(CD77=5,320,IF(CD77=4,195,IF(CD77=3,132,IF(CD77=2,90,IF(CD77=1,58,IF(CD77=-1,0,35))))))</f>
        <v>0</v>
      </c>
      <c r="CR77" s="48">
        <f>IF(CD77=5,20,IF(CD77=4,15,IF(CD77=3,12,IF(CD77=2,10,IF(CD77=1,8,IF(CD77=-1,0,5))))))</f>
        <v>0</v>
      </c>
      <c r="CS77" s="48">
        <f>IF(CF77=5,320,IF(CF77=4,195,IF(CF77=3,132,IF(CF77=2,90,IF(CF77=1,58,IF(CF77=-1,0,35))))))</f>
        <v>0</v>
      </c>
      <c r="CT77" s="48">
        <f>IF(CF77=5,20,IF(CF77=4,15,IF(CF77=3,12,IF(CF77=2,10,IF(CF77=1,8,IF(CF77=-1,0,5))))))</f>
        <v>0</v>
      </c>
      <c r="CU77" s="48">
        <f>IF(CH77=5,320,IF(CH77=4,195,IF(CH77=3,132,IF(CH77=2,90,IF(CH77=1,58,IF(CH77=-1,0,35))))))</f>
        <v>0</v>
      </c>
      <c r="CV77" s="48">
        <f>IF(CH77=5,20,IF(CH77=4,15,IF(CH77=3,12,IF(CH77=2,10,IF(CH77=1,8,IF(CH77=-1,0,5))))))</f>
        <v>0</v>
      </c>
      <c r="CW77" s="48">
        <f>IF(BY77&gt;10,(BY77/10)-ROUNDDOWN(BY77/10,0),0)+IF(CA77&gt;10,(CA77/10)-ROUNDDOWN(CA77/10,0),0)+IF(CC77&gt;10,(CC77/10)-ROUNDDOWN(CC77/10,0),0)+IF(CE77&gt;10,(CE77/10)-ROUNDDOWN(CE77/10,0),0)+IF(CG77&gt;10,(CG77/10)-ROUNDDOWN(CG77/10,0),0)+IF(CI77&gt;10,(CI77/10)-ROUNDDOWN(CI77/10,0),0)</f>
        <v>0</v>
      </c>
      <c r="CX77" s="48">
        <f>1+(CW77/10)</f>
        <v>1</v>
      </c>
    </row>
    <row r="78" ht="20.05" customHeight="1">
      <c r="A78" t="s" s="43">
        <v>357</v>
      </c>
      <c r="B78" s="49"/>
      <c r="C78" t="s" s="45">
        <v>279</v>
      </c>
      <c r="D78" s="13">
        <v>7</v>
      </c>
      <c r="E78" t="s" s="15">
        <v>232</v>
      </c>
      <c r="F78" t="s" s="15">
        <v>284</v>
      </c>
      <c r="G78" t="s" s="15">
        <v>282</v>
      </c>
      <c r="H78" s="12">
        <v>2</v>
      </c>
      <c r="I78" t="s" s="15">
        <v>351</v>
      </c>
      <c r="J78" s="12">
        <v>55</v>
      </c>
      <c r="K78" t="s" s="14">
        <v>236</v>
      </c>
      <c r="L78" t="s" s="15">
        <v>247</v>
      </c>
      <c r="M78" t="s" s="15">
        <v>248</v>
      </c>
      <c r="N78" s="46">
        <f>ROUND((SUM(AA78,T78:Y78,AC78:AE78,Z78*10)-AB78*15)*(IF(K78="Heavy",0.15,IF(K78="Medium",0,IF(K78="Light",-0.15,10)))+1),0)</f>
        <v>0</v>
      </c>
      <c r="O78" s="50"/>
      <c r="P78" s="46">
        <f>ROUNDDOWN((BI78+AU78+AG78)/5,0)+(BJ78+AV78+AH78)+(BN78+AZ78+AL78)+(BO78+BA78+AM78)+(BK78+AW78+AI78)+(BS78+BE78+AQ78)+(BL78+AX78+AJ78)+(BQ78+BC78+AO78)+(2*((BT78+BF78+AR78)+(BU78+BG78+AS78)))+(CK78+CM78+CO78+CQ78+CS78+CU78)+(CL78*BY78)+(CN78*CA78)+(CP78+CC78)+(CR78+CE78)+(CT78+CG78)+(CV78+CI78)+BV78</f>
        <v>-4</v>
      </c>
      <c r="Q78" s="46">
        <f>ROUNDDOWN(((S78/5)+T78+X78+Y78+U78+AC78+V78+AA78+(2*(AD78+AE78))+CK78+CM78+CO78+CQ78+CS78+CU78+(CL78*BX78)+(CN78*BZ78)+(CP78*CB78)+(CR78*CD78)+(CT78*CF78)+(CV78*CH78))*CX78,0)</f>
        <v>0</v>
      </c>
      <c r="R78" s="46">
        <f>ROUNDDOWN(AVERAGE(P78:Q78),0)</f>
        <v>-2</v>
      </c>
      <c r="S78" s="12">
        <f>AG78+AU78+BI78</f>
        <v>0</v>
      </c>
      <c r="T78" s="12">
        <f>AH78+AV78+BJ78</f>
        <v>0</v>
      </c>
      <c r="U78" s="12">
        <f>AI78+AW78+BK78</f>
        <v>0</v>
      </c>
      <c r="V78" s="12">
        <f>AJ78+AX78+BL78</f>
        <v>0</v>
      </c>
      <c r="W78" s="12">
        <f>AK78+AY78+BM78</f>
        <v>0</v>
      </c>
      <c r="X78" s="12">
        <f>AL78+AZ78+BN78</f>
        <v>0</v>
      </c>
      <c r="Y78" s="12">
        <f>AM78+BA78+BO78</f>
        <v>0</v>
      </c>
      <c r="Z78" s="12">
        <f>AN78+BB78+BP78</f>
        <v>0</v>
      </c>
      <c r="AA78" s="12">
        <f>AO78+BC78+BQ78</f>
        <v>0</v>
      </c>
      <c r="AB78" s="12">
        <f>AP78+BD78+BR78</f>
        <v>0</v>
      </c>
      <c r="AC78" s="12">
        <f>AQ78+BE78+BS78</f>
        <v>0</v>
      </c>
      <c r="AD78" s="12">
        <f>AR78+BF78+BT78</f>
        <v>0</v>
      </c>
      <c r="AE78" s="12">
        <f>AS78+BG78+BU78</f>
        <v>0</v>
      </c>
      <c r="AF78" s="28"/>
      <c r="AG78" s="28"/>
      <c r="AH78" s="28"/>
      <c r="AI78" s="28"/>
      <c r="AJ78" s="28"/>
      <c r="AK78" s="28"/>
      <c r="AL78" s="28"/>
      <c r="AM78" s="28"/>
      <c r="AN78" s="28"/>
      <c r="AO78" s="28"/>
      <c r="AP78" s="28"/>
      <c r="AQ78" s="28"/>
      <c r="AR78" s="28"/>
      <c r="AS78" s="28"/>
      <c r="AT78" s="28"/>
      <c r="AU78" s="12">
        <f>IF($H78=3,IF(OR($F78="DDV",$F78="DDG",$F78="DD"),'Fleet Tech - Tech'!B$3,IF($F78="CL",'Fleet Tech - Tech'!B$4,IF($F78="CA",'Fleet Tech - Tech'!B$5,IF($F78="BC",'Fleet Tech - Tech'!B$6,IF($F78="BB",'Fleet Tech - Tech'!B$7,IF($F78="CVL",'Fleet Tech - Tech'!B$8,IF($F78="CV",'Fleet Tech - Tech'!B$9,IF($F78="SS",'Fleet Tech - Tech'!B$10,IF($F78="BBV",'Fleet Tech - Tech'!B$11,IF($F78="CB",'Fleet Tech - Tech'!B$15,IF($F78="AE",'Fleet Tech - Tech'!B$16,IF($F78="IX",'Fleet Tech - Tech'!B$17,IF($F78="BM",'Fleet Tech - Tech'!B$13,IF($F78="AR",'Fleet Tech - Tech'!B$12,IF($F78="SSV",'Fleet Tech - Tech'!B$14,"nil"))))))))))))))),0)</f>
        <v>0</v>
      </c>
      <c r="AV78" s="12">
        <f>IF($H78=3,IF(OR($F78="DDV",$F78="DDG",$F78="DD"),'Fleet Tech - Tech'!C$3,IF($F78="CL",'Fleet Tech - Tech'!C$4,IF($F78="CA",'Fleet Tech - Tech'!C$5,IF($F78="BC",'Fleet Tech - Tech'!C$6,IF($F78="BB",'Fleet Tech - Tech'!C$7,IF($F78="CVL",'Fleet Tech - Tech'!C$8,IF($F78="CV",'Fleet Tech - Tech'!C$9,IF($F78="SS",'Fleet Tech - Tech'!C$10,IF($F78="BBV",'Fleet Tech - Tech'!C$11,IF($F78="CB",'Fleet Tech - Tech'!C$15,IF($F78="AE",'Fleet Tech - Tech'!C$16,IF($F78="IX",'Fleet Tech - Tech'!C$17,IF($F78="BM",'Fleet Tech - Tech'!C$13,IF($F78="AR",'Fleet Tech - Tech'!C$12,IF($F78="SSV",'Fleet Tech - Tech'!C$14,"nil"))))))))))))))),0)</f>
        <v>0</v>
      </c>
      <c r="AW78" s="12">
        <f>IF($H78=3,IF(OR($F78="DDV",$F78="DDG",$F78="DD"),'Fleet Tech - Tech'!D$3,IF($F78="CL",'Fleet Tech - Tech'!D$4,IF($F78="CA",'Fleet Tech - Tech'!D$5,IF($F78="BC",'Fleet Tech - Tech'!D$6,IF($F78="BB",'Fleet Tech - Tech'!D$7,IF($F78="CVL",'Fleet Tech - Tech'!D$8,IF($F78="CV",'Fleet Tech - Tech'!D$9,IF($F78="SS",'Fleet Tech - Tech'!D$10,IF($F78="BBV",'Fleet Tech - Tech'!D$11,IF($F78="CB",'Fleet Tech - Tech'!D$15,IF($F78="AE",'Fleet Tech - Tech'!D$16,IF($F78="IX",'Fleet Tech - Tech'!D$17,IF($F78="BM",'Fleet Tech - Tech'!D$13,IF($F78="AR",'Fleet Tech - Tech'!D$12,IF($F78="SSV",'Fleet Tech - Tech'!D$14,"nil"))))))))))))))),0)</f>
        <v>0</v>
      </c>
      <c r="AX78" s="12">
        <f>IF($H78=3,IF(OR($F78="DDV",$F78="DDG",$F78="DD"),'Fleet Tech - Tech'!E$3,IF($F78="CL",'Fleet Tech - Tech'!E$4,IF($F78="CA",'Fleet Tech - Tech'!E$5,IF($F78="BC",'Fleet Tech - Tech'!E$6,IF($F78="BB",'Fleet Tech - Tech'!E$7,IF($F78="CVL",'Fleet Tech - Tech'!E$8,IF($F78="CV",'Fleet Tech - Tech'!E$9,IF($F78="SS",'Fleet Tech - Tech'!E$10,IF($F78="BBV",'Fleet Tech - Tech'!E$11,IF($F78="CB",'Fleet Tech - Tech'!E$15,IF($F78="AE",'Fleet Tech - Tech'!E$16,IF($F78="IX",'Fleet Tech - Tech'!E$17,IF($F78="BM",'Fleet Tech - Tech'!E$13,IF($F78="AR",'Fleet Tech - Tech'!E$12,IF($F78="SSV",'Fleet Tech - Tech'!E$14,"nil"))))))))))))))),0)</f>
        <v>0</v>
      </c>
      <c r="AY78" s="12">
        <f>IF($H78=3,IF(OR($F78="DDV",$F78="DDG",$F78="DD"),'Fleet Tech - Tech'!F$3,IF($F78="CL",'Fleet Tech - Tech'!F$4,IF($F78="CA",'Fleet Tech - Tech'!F$5,IF($F78="BC",'Fleet Tech - Tech'!F$6,IF($F78="BB",'Fleet Tech - Tech'!F$7,IF($F78="CVL",'Fleet Tech - Tech'!F$8,IF($F78="CV",'Fleet Tech - Tech'!F$9,IF($F78="SS",'Fleet Tech - Tech'!F$10,IF($F78="BBV",'Fleet Tech - Tech'!F$11,IF($F78="CB",'Fleet Tech - Tech'!F$15,IF($F78="AE",'Fleet Tech - Tech'!F$16,IF($F78="IX",'Fleet Tech - Tech'!F$17,IF($F78="BM",'Fleet Tech - Tech'!F$13,IF($F78="AR",'Fleet Tech - Tech'!F$12,IF($F78="SSV",'Fleet Tech - Tech'!F$14,"nil"))))))))))))))),0)</f>
        <v>0</v>
      </c>
      <c r="AZ78" s="12">
        <f>IF($H78=3,IF(OR($F78="DDV",$F78="DDG",$F78="DD"),'Fleet Tech - Tech'!G$3,IF($F78="CL",'Fleet Tech - Tech'!G$4,IF($F78="CA",'Fleet Tech - Tech'!G$5,IF($F78="BC",'Fleet Tech - Tech'!G$6,IF($F78="BB",'Fleet Tech - Tech'!G$7,IF($F78="CVL",'Fleet Tech - Tech'!G$8,IF($F78="CV",'Fleet Tech - Tech'!G$9,IF($F78="SS",'Fleet Tech - Tech'!G$10,IF($F78="BBV",'Fleet Tech - Tech'!G$11,IF($F78="CB",'Fleet Tech - Tech'!G$15,IF($F78="AE",'Fleet Tech - Tech'!G$16,IF($F78="IX",'Fleet Tech - Tech'!G$17,IF($F78="BM",'Fleet Tech - Tech'!G$13,IF($F78="AR",'Fleet Tech - Tech'!G$12,IF($F78="SSV",'Fleet Tech - Tech'!G$14,"nil"))))))))))))))),0)</f>
        <v>0</v>
      </c>
      <c r="BA78" s="12">
        <f>IF($H78=3,IF(OR($F78="DDV",$F78="DDG",$F78="DD"),'Fleet Tech - Tech'!H$3,IF($F78="CL",'Fleet Tech - Tech'!H$4,IF($F78="CA",'Fleet Tech - Tech'!H$5,IF($F78="BC",'Fleet Tech - Tech'!H$6,IF($F78="BB",'Fleet Tech - Tech'!H$7,IF($F78="CVL",'Fleet Tech - Tech'!H$8,IF($F78="CV",'Fleet Tech - Tech'!H$9,IF($F78="SS",'Fleet Tech - Tech'!H$10,IF($F78="BBV",'Fleet Tech - Tech'!H$11,IF($F78="CB",'Fleet Tech - Tech'!H$15,IF($F78="AE",'Fleet Tech - Tech'!H$16,IF($F78="IX",'Fleet Tech - Tech'!H$17,IF($F78="BM",'Fleet Tech - Tech'!H$13,IF($F78="AR",'Fleet Tech - Tech'!H$12,IF($F78="SSV",'Fleet Tech - Tech'!H$14,"nil"))))))))))))))),0)</f>
        <v>0</v>
      </c>
      <c r="BB78" s="12">
        <f>IF($H78=3,IF(OR($F78="DDV",$F78="DDG",$F78="DD"),'Fleet Tech - Tech'!I$3,IF($F78="CL",'Fleet Tech - Tech'!I$4,IF($F78="CA",'Fleet Tech - Tech'!I$5,IF($F78="BC",'Fleet Tech - Tech'!I$6,IF($F78="BB",'Fleet Tech - Tech'!I$7,IF($F78="CVL",'Fleet Tech - Tech'!I$8,IF($F78="CV",'Fleet Tech - Tech'!I$9,IF($F78="SS",'Fleet Tech - Tech'!I$10,IF($F78="BBV",'Fleet Tech - Tech'!I$11,IF($F78="CB",'Fleet Tech - Tech'!I$15,IF($F78="AE",'Fleet Tech - Tech'!I$16,IF($F78="IX",'Fleet Tech - Tech'!I$17,IF($F78="BM",'Fleet Tech - Tech'!I$13,IF($F78="AR",'Fleet Tech - Tech'!I$12,IF($F78="SSV",'Fleet Tech - Tech'!I$14,"nil"))))))))))))))),0)</f>
        <v>0</v>
      </c>
      <c r="BC78" s="12">
        <f>IF($H78=3,IF(OR($F78="DDV",$F78="DDG",$F78="DD"),'Fleet Tech - Tech'!J$3,IF($F78="CL",'Fleet Tech - Tech'!J$4,IF($F78="CA",'Fleet Tech - Tech'!J$5,IF($F78="BC",'Fleet Tech - Tech'!J$6,IF($F78="BB",'Fleet Tech - Tech'!J$7,IF($F78="CVL",'Fleet Tech - Tech'!J$8,IF($F78="CV",'Fleet Tech - Tech'!J$9,IF($F78="SS",'Fleet Tech - Tech'!J$10,IF($F78="BBV",'Fleet Tech - Tech'!J$11,IF($F78="CB",'Fleet Tech - Tech'!J$15,IF($F78="AE",'Fleet Tech - Tech'!J$16,IF($F78="IX",'Fleet Tech - Tech'!J$17,IF($F78="BM",'Fleet Tech - Tech'!J$13,IF($F78="AR",'Fleet Tech - Tech'!J$12,IF($F78="SSV",'Fleet Tech - Tech'!J$14,"nil"))))))))))))))),0)</f>
        <v>0</v>
      </c>
      <c r="BD78" s="12">
        <f>IF($H78=3,IF(OR($F78="DDV",$F78="DDG",$F78="DD"),'Fleet Tech - Tech'!K$3,IF($F78="CL",'Fleet Tech - Tech'!K$4,IF($F78="CA",'Fleet Tech - Tech'!K$5,IF($F78="BC",'Fleet Tech - Tech'!K$6,IF($F78="BB",'Fleet Tech - Tech'!K$7,IF($F78="CVL",'Fleet Tech - Tech'!K$8,IF($F78="CV",'Fleet Tech - Tech'!K$9,IF($F78="SS",'Fleet Tech - Tech'!K$10,IF($F78="BBV",'Fleet Tech - Tech'!K$11,IF($F78="CB",'Fleet Tech - Tech'!K$15,IF($F78="AE",'Fleet Tech - Tech'!K$16,IF($F78="IX",'Fleet Tech - Tech'!K$17,IF($F78="BM",'Fleet Tech - Tech'!K$13,IF($F78="AR",'Fleet Tech - Tech'!K$12,IF($F78="SSV",'Fleet Tech - Tech'!K$14,"nil"))))))))))))))),0)</f>
        <v>0</v>
      </c>
      <c r="BE78" s="12">
        <f>IF($H78=3,IF(OR($F78="DDV",$F78="DDG",$F78="DD"),'Fleet Tech - Tech'!L$3,IF($F78="CL",'Fleet Tech - Tech'!L$4,IF($F78="CA",'Fleet Tech - Tech'!L$5,IF($F78="BC",'Fleet Tech - Tech'!L$6,IF($F78="BB",'Fleet Tech - Tech'!L$7,IF($F78="CVL",'Fleet Tech - Tech'!L$8,IF($F78="CV",'Fleet Tech - Tech'!L$9,IF($F78="SS",'Fleet Tech - Tech'!L$10,IF($F78="BBV",'Fleet Tech - Tech'!L$11,IF($F78="CB",'Fleet Tech - Tech'!L$15,IF($F78="AE",'Fleet Tech - Tech'!L$16,IF($F78="IX",'Fleet Tech - Tech'!L$17,IF($F78="BM",'Fleet Tech - Tech'!L$13,IF($F78="AR",'Fleet Tech - Tech'!L$12,IF($F78="SSV",'Fleet Tech - Tech'!L$14,"nil"))))))))))))))),0)</f>
        <v>0</v>
      </c>
      <c r="BF78" s="12">
        <f>IF($H78=3,IF(OR($F78="DDV",$F78="DDG",$F78="DD"),'Fleet Tech - Tech'!M$3,IF($F78="CL",'Fleet Tech - Tech'!M$4,IF($F78="CA",'Fleet Tech - Tech'!M$5,IF($F78="BC",'Fleet Tech - Tech'!M$6,IF($F78="BB",'Fleet Tech - Tech'!M$7,IF($F78="CVL",'Fleet Tech - Tech'!M$8,IF($F78="CV",'Fleet Tech - Tech'!M$9,IF($F78="SS",'Fleet Tech - Tech'!M$10,IF($F78="BBV",'Fleet Tech - Tech'!M$11,IF($F78="CB",'Fleet Tech - Tech'!M$15,IF($F78="AE",'Fleet Tech - Tech'!M$16,IF($F78="IX",'Fleet Tech - Tech'!M$17,IF($F78="BM",'Fleet Tech - Tech'!M$13,IF($F78="AR",'Fleet Tech - Tech'!M$12,IF($F78="SSV",'Fleet Tech - Tech'!M$14,"nil"))))))))))))))),0)</f>
        <v>0</v>
      </c>
      <c r="BG78" s="12">
        <f>IF($H78=3,IF(OR($F78="DDV",$F78="DDG",$F78="DD"),'Fleet Tech - Tech'!N$3,IF($F78="CL",'Fleet Tech - Tech'!N$4,IF($F78="CA",'Fleet Tech - Tech'!N$5,IF($F78="BC",'Fleet Tech - Tech'!N$6,IF($F78="BB",'Fleet Tech - Tech'!N$7,IF($F78="CVL",'Fleet Tech - Tech'!N$8,IF($F78="CV",'Fleet Tech - Tech'!N$9,IF($F78="SS",'Fleet Tech - Tech'!N$10,IF($F78="BBV",'Fleet Tech - Tech'!N$11,IF($F78="CB",'Fleet Tech - Tech'!N$15,IF($F78="AE",'Fleet Tech - Tech'!N$16,IF($F78="IX",'Fleet Tech - Tech'!N$17,IF($F78="BM",'Fleet Tech - Tech'!N$13,IF($F78="AR",'Fleet Tech - Tech'!N$12,IF($F78="SSV",'Fleet Tech - Tech'!N$14,"nil"))))))))))))))),0)</f>
        <v>0</v>
      </c>
      <c r="BH78" s="28"/>
      <c r="BI78" s="28"/>
      <c r="BJ78" s="28"/>
      <c r="BK78" s="28"/>
      <c r="BL78" s="28"/>
      <c r="BM78" s="28"/>
      <c r="BN78" s="28"/>
      <c r="BO78" s="28"/>
      <c r="BP78" s="28"/>
      <c r="BQ78" s="28"/>
      <c r="BR78" s="28"/>
      <c r="BS78" s="28"/>
      <c r="BT78" s="28"/>
      <c r="BU78" s="28"/>
      <c r="BV78" s="28"/>
      <c r="BW78" s="28"/>
      <c r="BX78" s="12">
        <v>-1</v>
      </c>
      <c r="BY78" s="12">
        <v>-1</v>
      </c>
      <c r="BZ78" s="12">
        <v>-1</v>
      </c>
      <c r="CA78" s="12">
        <v>-1</v>
      </c>
      <c r="CB78" s="12">
        <v>-1</v>
      </c>
      <c r="CC78" s="12">
        <v>-1</v>
      </c>
      <c r="CD78" s="12">
        <v>-1</v>
      </c>
      <c r="CE78" s="12">
        <v>-1</v>
      </c>
      <c r="CF78" s="12">
        <v>-1</v>
      </c>
      <c r="CG78" s="12">
        <v>-1</v>
      </c>
      <c r="CH78" s="12">
        <v>-1</v>
      </c>
      <c r="CI78" s="12">
        <v>-1</v>
      </c>
      <c r="CJ78" s="47"/>
      <c r="CK78" s="48">
        <f>IF(BX78=5,320,IF(BX78=4,195,IF(BX78=3,132,IF(BX78=2,90,IF(BX78=1,58,IF(BX78=-1,0,35))))))</f>
        <v>0</v>
      </c>
      <c r="CL78" s="48">
        <f>IF(BX78=5,20,IF(BX78=4,15,IF(BX78=3,12,IF(BX78=2,10,IF(BX78=1,8,IF(BX78=-1,0,5))))))</f>
        <v>0</v>
      </c>
      <c r="CM78" s="48">
        <f>IF(BZ78=5,320,IF(BZ78=4,195,IF(BZ78=3,132,IF(BZ78=2,90,IF(BZ78=1,58,IF(BZ78=-1,0,35))))))</f>
        <v>0</v>
      </c>
      <c r="CN78" s="48">
        <f>IF(BZ78=5,20,IF(BZ78=4,15,IF(BZ78=3,12,IF(BZ78=2,10,IF(BZ78=1,8,IF(BZ78=-1,0,5))))))</f>
        <v>0</v>
      </c>
      <c r="CO78" s="48">
        <f>IF(CB78=5,320,IF(CB78=4,195,IF(CB78=3,132,IF(CB78=2,90,IF(CB78=1,58,IF(CB78=-1,0,35))))))</f>
        <v>0</v>
      </c>
      <c r="CP78" s="48">
        <f>IF(CB78=5,20,IF(CB78=4,15,IF(CB78=3,12,IF(CB78=2,10,IF(CB78=1,8,IF(CB78=-1,0,5))))))</f>
        <v>0</v>
      </c>
      <c r="CQ78" s="48">
        <f>IF(CD78=5,320,IF(CD78=4,195,IF(CD78=3,132,IF(CD78=2,90,IF(CD78=1,58,IF(CD78=-1,0,35))))))</f>
        <v>0</v>
      </c>
      <c r="CR78" s="48">
        <f>IF(CD78=5,20,IF(CD78=4,15,IF(CD78=3,12,IF(CD78=2,10,IF(CD78=1,8,IF(CD78=-1,0,5))))))</f>
        <v>0</v>
      </c>
      <c r="CS78" s="48">
        <f>IF(CF78=5,320,IF(CF78=4,195,IF(CF78=3,132,IF(CF78=2,90,IF(CF78=1,58,IF(CF78=-1,0,35))))))</f>
        <v>0</v>
      </c>
      <c r="CT78" s="48">
        <f>IF(CF78=5,20,IF(CF78=4,15,IF(CF78=3,12,IF(CF78=2,10,IF(CF78=1,8,IF(CF78=-1,0,5))))))</f>
        <v>0</v>
      </c>
      <c r="CU78" s="48">
        <f>IF(CH78=5,320,IF(CH78=4,195,IF(CH78=3,132,IF(CH78=2,90,IF(CH78=1,58,IF(CH78=-1,0,35))))))</f>
        <v>0</v>
      </c>
      <c r="CV78" s="48">
        <f>IF(CH78=5,20,IF(CH78=4,15,IF(CH78=3,12,IF(CH78=2,10,IF(CH78=1,8,IF(CH78=-1,0,5))))))</f>
        <v>0</v>
      </c>
      <c r="CW78" s="48">
        <f>IF(BY78&gt;10,(BY78/10)-ROUNDDOWN(BY78/10,0),0)+IF(CA78&gt;10,(CA78/10)-ROUNDDOWN(CA78/10,0),0)+IF(CC78&gt;10,(CC78/10)-ROUNDDOWN(CC78/10,0),0)+IF(CE78&gt;10,(CE78/10)-ROUNDDOWN(CE78/10,0),0)+IF(CG78&gt;10,(CG78/10)-ROUNDDOWN(CG78/10,0),0)+IF(CI78&gt;10,(CI78/10)-ROUNDDOWN(CI78/10,0),0)</f>
        <v>0</v>
      </c>
      <c r="CX78" s="48">
        <f>1+(CW78/10)</f>
        <v>1</v>
      </c>
    </row>
    <row r="79" ht="20.05" customHeight="1">
      <c r="A79" t="s" s="43">
        <v>358</v>
      </c>
      <c r="B79" s="49"/>
      <c r="C79" t="s" s="45">
        <v>279</v>
      </c>
      <c r="D79" s="13">
        <v>7</v>
      </c>
      <c r="E79" t="s" s="15">
        <v>232</v>
      </c>
      <c r="F79" t="s" s="15">
        <v>275</v>
      </c>
      <c r="G79" t="s" s="15">
        <v>282</v>
      </c>
      <c r="H79" s="12">
        <v>2</v>
      </c>
      <c r="I79" t="s" s="15">
        <v>300</v>
      </c>
      <c r="J79" s="12">
        <v>54</v>
      </c>
      <c r="K79" t="s" s="14">
        <v>236</v>
      </c>
      <c r="L79" t="s" s="15">
        <v>265</v>
      </c>
      <c r="M79" t="s" s="15">
        <v>27</v>
      </c>
      <c r="N79" s="46">
        <f>ROUND((SUM(AA79,T79:Y79,AC79:AE79,Z79*10)-AB79*15)*(IF(K79="Heavy",0.15,IF(K79="Medium",0,IF(K79="Light",-0.15,10)))+1),0)</f>
        <v>0</v>
      </c>
      <c r="O79" s="50"/>
      <c r="P79" s="46">
        <f>ROUNDDOWN((BI79+AU79+AG79)/5,0)+(BJ79+AV79+AH79)+(BN79+AZ79+AL79)+(BO79+BA79+AM79)+(BK79+AW79+AI79)+(BS79+BE79+AQ79)+(BL79+AX79+AJ79)+(BQ79+BC79+AO79)+(2*((BT79+BF79+AR79)+(BU79+BG79+AS79)))+(CK79+CM79+CO79+CQ79+CS79+CU79)+(CL79*BY79)+(CN79*CA79)+(CP79+CC79)+(CR79+CE79)+(CT79+CG79)+(CV79+CI79)+BV79</f>
        <v>-4</v>
      </c>
      <c r="Q79" s="46">
        <f>ROUNDDOWN(((S79/5)+T79+X79+Y79+U79+AC79+V79+AA79+(2*(AD79+AE79))+CK79+CM79+CO79+CQ79+CS79+CU79+(CL79*BX79)+(CN79*BZ79)+(CP79*CB79)+(CR79*CD79)+(CT79*CF79)+(CV79*CH79))*CX79,0)</f>
        <v>0</v>
      </c>
      <c r="R79" s="46">
        <f>ROUNDDOWN(AVERAGE(P79:Q79),0)</f>
        <v>-2</v>
      </c>
      <c r="S79" s="12">
        <f>AG79+AU79+BI79</f>
        <v>0</v>
      </c>
      <c r="T79" s="12">
        <f>AH79+AV79+BJ79</f>
        <v>0</v>
      </c>
      <c r="U79" s="12">
        <f>AI79+AW79+BK79</f>
        <v>0</v>
      </c>
      <c r="V79" s="12">
        <f>AJ79+AX79+BL79</f>
        <v>0</v>
      </c>
      <c r="W79" s="12">
        <f>AK79+AY79+BM79</f>
        <v>0</v>
      </c>
      <c r="X79" s="12">
        <f>AL79+AZ79+BN79</f>
        <v>0</v>
      </c>
      <c r="Y79" s="12">
        <f>AM79+BA79+BO79</f>
        <v>0</v>
      </c>
      <c r="Z79" s="12">
        <f>AN79+BB79+BP79</f>
        <v>0</v>
      </c>
      <c r="AA79" s="12">
        <f>AO79+BC79+BQ79</f>
        <v>0</v>
      </c>
      <c r="AB79" s="12">
        <f>AP79+BD79+BR79</f>
        <v>0</v>
      </c>
      <c r="AC79" s="12">
        <f>AQ79+BE79+BS79</f>
        <v>0</v>
      </c>
      <c r="AD79" s="12">
        <f>AR79+BF79+BT79</f>
        <v>0</v>
      </c>
      <c r="AE79" s="12">
        <f>AS79+BG79+BU79</f>
        <v>0</v>
      </c>
      <c r="AF79" s="28"/>
      <c r="AG79" s="28"/>
      <c r="AH79" s="28"/>
      <c r="AI79" s="28"/>
      <c r="AJ79" s="28"/>
      <c r="AK79" s="28"/>
      <c r="AL79" s="28"/>
      <c r="AM79" s="28"/>
      <c r="AN79" s="28"/>
      <c r="AO79" s="28"/>
      <c r="AP79" s="28"/>
      <c r="AQ79" s="28"/>
      <c r="AR79" s="28"/>
      <c r="AS79" s="28"/>
      <c r="AT79" s="28"/>
      <c r="AU79" s="12">
        <f>IF($H79=3,IF(OR($F79="DDV",$F79="DDG",$F79="DD"),'Fleet Tech - Tech'!B$3,IF($F79="CL",'Fleet Tech - Tech'!B$4,IF($F79="CA",'Fleet Tech - Tech'!B$5,IF($F79="BC",'Fleet Tech - Tech'!B$6,IF($F79="BB",'Fleet Tech - Tech'!B$7,IF($F79="CVL",'Fleet Tech - Tech'!B$8,IF($F79="CV",'Fleet Tech - Tech'!B$9,IF($F79="SS",'Fleet Tech - Tech'!B$10,IF($F79="BBV",'Fleet Tech - Tech'!B$11,IF($F79="CB",'Fleet Tech - Tech'!B$15,IF($F79="AE",'Fleet Tech - Tech'!B$16,IF($F79="IX",'Fleet Tech - Tech'!B$17,IF($F79="BM",'Fleet Tech - Tech'!B$13,IF($F79="AR",'Fleet Tech - Tech'!B$12,IF($F79="SSV",'Fleet Tech - Tech'!B$14,"nil"))))))))))))))),0)</f>
        <v>0</v>
      </c>
      <c r="AV79" s="12">
        <f>IF($H79=3,IF(OR($F79="DDV",$F79="DDG",$F79="DD"),'Fleet Tech - Tech'!C$3,IF($F79="CL",'Fleet Tech - Tech'!C$4,IF($F79="CA",'Fleet Tech - Tech'!C$5,IF($F79="BC",'Fleet Tech - Tech'!C$6,IF($F79="BB",'Fleet Tech - Tech'!C$7,IF($F79="CVL",'Fleet Tech - Tech'!C$8,IF($F79="CV",'Fleet Tech - Tech'!C$9,IF($F79="SS",'Fleet Tech - Tech'!C$10,IF($F79="BBV",'Fleet Tech - Tech'!C$11,IF($F79="CB",'Fleet Tech - Tech'!C$15,IF($F79="AE",'Fleet Tech - Tech'!C$16,IF($F79="IX",'Fleet Tech - Tech'!C$17,IF($F79="BM",'Fleet Tech - Tech'!C$13,IF($F79="AR",'Fleet Tech - Tech'!C$12,IF($F79="SSV",'Fleet Tech - Tech'!C$14,"nil"))))))))))))))),0)</f>
        <v>0</v>
      </c>
      <c r="AW79" s="12">
        <f>IF($H79=3,IF(OR($F79="DDV",$F79="DDG",$F79="DD"),'Fleet Tech - Tech'!D$3,IF($F79="CL",'Fleet Tech - Tech'!D$4,IF($F79="CA",'Fleet Tech - Tech'!D$5,IF($F79="BC",'Fleet Tech - Tech'!D$6,IF($F79="BB",'Fleet Tech - Tech'!D$7,IF($F79="CVL",'Fleet Tech - Tech'!D$8,IF($F79="CV",'Fleet Tech - Tech'!D$9,IF($F79="SS",'Fleet Tech - Tech'!D$10,IF($F79="BBV",'Fleet Tech - Tech'!D$11,IF($F79="CB",'Fleet Tech - Tech'!D$15,IF($F79="AE",'Fleet Tech - Tech'!D$16,IF($F79="IX",'Fleet Tech - Tech'!D$17,IF($F79="BM",'Fleet Tech - Tech'!D$13,IF($F79="AR",'Fleet Tech - Tech'!D$12,IF($F79="SSV",'Fleet Tech - Tech'!D$14,"nil"))))))))))))))),0)</f>
        <v>0</v>
      </c>
      <c r="AX79" s="12">
        <f>IF($H79=3,IF(OR($F79="DDV",$F79="DDG",$F79="DD"),'Fleet Tech - Tech'!E$3,IF($F79="CL",'Fleet Tech - Tech'!E$4,IF($F79="CA",'Fleet Tech - Tech'!E$5,IF($F79="BC",'Fleet Tech - Tech'!E$6,IF($F79="BB",'Fleet Tech - Tech'!E$7,IF($F79="CVL",'Fleet Tech - Tech'!E$8,IF($F79="CV",'Fleet Tech - Tech'!E$9,IF($F79="SS",'Fleet Tech - Tech'!E$10,IF($F79="BBV",'Fleet Tech - Tech'!E$11,IF($F79="CB",'Fleet Tech - Tech'!E$15,IF($F79="AE",'Fleet Tech - Tech'!E$16,IF($F79="IX",'Fleet Tech - Tech'!E$17,IF($F79="BM",'Fleet Tech - Tech'!E$13,IF($F79="AR",'Fleet Tech - Tech'!E$12,IF($F79="SSV",'Fleet Tech - Tech'!E$14,"nil"))))))))))))))),0)</f>
        <v>0</v>
      </c>
      <c r="AY79" s="12">
        <f>IF($H79=3,IF(OR($F79="DDV",$F79="DDG",$F79="DD"),'Fleet Tech - Tech'!F$3,IF($F79="CL",'Fleet Tech - Tech'!F$4,IF($F79="CA",'Fleet Tech - Tech'!F$5,IF($F79="BC",'Fleet Tech - Tech'!F$6,IF($F79="BB",'Fleet Tech - Tech'!F$7,IF($F79="CVL",'Fleet Tech - Tech'!F$8,IF($F79="CV",'Fleet Tech - Tech'!F$9,IF($F79="SS",'Fleet Tech - Tech'!F$10,IF($F79="BBV",'Fleet Tech - Tech'!F$11,IF($F79="CB",'Fleet Tech - Tech'!F$15,IF($F79="AE",'Fleet Tech - Tech'!F$16,IF($F79="IX",'Fleet Tech - Tech'!F$17,IF($F79="BM",'Fleet Tech - Tech'!F$13,IF($F79="AR",'Fleet Tech - Tech'!F$12,IF($F79="SSV",'Fleet Tech - Tech'!F$14,"nil"))))))))))))))),0)</f>
        <v>0</v>
      </c>
      <c r="AZ79" s="12">
        <f>IF($H79=3,IF(OR($F79="DDV",$F79="DDG",$F79="DD"),'Fleet Tech - Tech'!G$3,IF($F79="CL",'Fleet Tech - Tech'!G$4,IF($F79="CA",'Fleet Tech - Tech'!G$5,IF($F79="BC",'Fleet Tech - Tech'!G$6,IF($F79="BB",'Fleet Tech - Tech'!G$7,IF($F79="CVL",'Fleet Tech - Tech'!G$8,IF($F79="CV",'Fleet Tech - Tech'!G$9,IF($F79="SS",'Fleet Tech - Tech'!G$10,IF($F79="BBV",'Fleet Tech - Tech'!G$11,IF($F79="CB",'Fleet Tech - Tech'!G$15,IF($F79="AE",'Fleet Tech - Tech'!G$16,IF($F79="IX",'Fleet Tech - Tech'!G$17,IF($F79="BM",'Fleet Tech - Tech'!G$13,IF($F79="AR",'Fleet Tech - Tech'!G$12,IF($F79="SSV",'Fleet Tech - Tech'!G$14,"nil"))))))))))))))),0)</f>
        <v>0</v>
      </c>
      <c r="BA79" s="12">
        <f>IF($H79=3,IF(OR($F79="DDV",$F79="DDG",$F79="DD"),'Fleet Tech - Tech'!H$3,IF($F79="CL",'Fleet Tech - Tech'!H$4,IF($F79="CA",'Fleet Tech - Tech'!H$5,IF($F79="BC",'Fleet Tech - Tech'!H$6,IF($F79="BB",'Fleet Tech - Tech'!H$7,IF($F79="CVL",'Fleet Tech - Tech'!H$8,IF($F79="CV",'Fleet Tech - Tech'!H$9,IF($F79="SS",'Fleet Tech - Tech'!H$10,IF($F79="BBV",'Fleet Tech - Tech'!H$11,IF($F79="CB",'Fleet Tech - Tech'!H$15,IF($F79="AE",'Fleet Tech - Tech'!H$16,IF($F79="IX",'Fleet Tech - Tech'!H$17,IF($F79="BM",'Fleet Tech - Tech'!H$13,IF($F79="AR",'Fleet Tech - Tech'!H$12,IF($F79="SSV",'Fleet Tech - Tech'!H$14,"nil"))))))))))))))),0)</f>
        <v>0</v>
      </c>
      <c r="BB79" s="12">
        <f>IF($H79=3,IF(OR($F79="DDV",$F79="DDG",$F79="DD"),'Fleet Tech - Tech'!I$3,IF($F79="CL",'Fleet Tech - Tech'!I$4,IF($F79="CA",'Fleet Tech - Tech'!I$5,IF($F79="BC",'Fleet Tech - Tech'!I$6,IF($F79="BB",'Fleet Tech - Tech'!I$7,IF($F79="CVL",'Fleet Tech - Tech'!I$8,IF($F79="CV",'Fleet Tech - Tech'!I$9,IF($F79="SS",'Fleet Tech - Tech'!I$10,IF($F79="BBV",'Fleet Tech - Tech'!I$11,IF($F79="CB",'Fleet Tech - Tech'!I$15,IF($F79="AE",'Fleet Tech - Tech'!I$16,IF($F79="IX",'Fleet Tech - Tech'!I$17,IF($F79="BM",'Fleet Tech - Tech'!I$13,IF($F79="AR",'Fleet Tech - Tech'!I$12,IF($F79="SSV",'Fleet Tech - Tech'!I$14,"nil"))))))))))))))),0)</f>
        <v>0</v>
      </c>
      <c r="BC79" s="12">
        <f>IF($H79=3,IF(OR($F79="DDV",$F79="DDG",$F79="DD"),'Fleet Tech - Tech'!J$3,IF($F79="CL",'Fleet Tech - Tech'!J$4,IF($F79="CA",'Fleet Tech - Tech'!J$5,IF($F79="BC",'Fleet Tech - Tech'!J$6,IF($F79="BB",'Fleet Tech - Tech'!J$7,IF($F79="CVL",'Fleet Tech - Tech'!J$8,IF($F79="CV",'Fleet Tech - Tech'!J$9,IF($F79="SS",'Fleet Tech - Tech'!J$10,IF($F79="BBV",'Fleet Tech - Tech'!J$11,IF($F79="CB",'Fleet Tech - Tech'!J$15,IF($F79="AE",'Fleet Tech - Tech'!J$16,IF($F79="IX",'Fleet Tech - Tech'!J$17,IF($F79="BM",'Fleet Tech - Tech'!J$13,IF($F79="AR",'Fleet Tech - Tech'!J$12,IF($F79="SSV",'Fleet Tech - Tech'!J$14,"nil"))))))))))))))),0)</f>
        <v>0</v>
      </c>
      <c r="BD79" s="12">
        <f>IF($H79=3,IF(OR($F79="DDV",$F79="DDG",$F79="DD"),'Fleet Tech - Tech'!K$3,IF($F79="CL",'Fleet Tech - Tech'!K$4,IF($F79="CA",'Fleet Tech - Tech'!K$5,IF($F79="BC",'Fleet Tech - Tech'!K$6,IF($F79="BB",'Fleet Tech - Tech'!K$7,IF($F79="CVL",'Fleet Tech - Tech'!K$8,IF($F79="CV",'Fleet Tech - Tech'!K$9,IF($F79="SS",'Fleet Tech - Tech'!K$10,IF($F79="BBV",'Fleet Tech - Tech'!K$11,IF($F79="CB",'Fleet Tech - Tech'!K$15,IF($F79="AE",'Fleet Tech - Tech'!K$16,IF($F79="IX",'Fleet Tech - Tech'!K$17,IF($F79="BM",'Fleet Tech - Tech'!K$13,IF($F79="AR",'Fleet Tech - Tech'!K$12,IF($F79="SSV",'Fleet Tech - Tech'!K$14,"nil"))))))))))))))),0)</f>
        <v>0</v>
      </c>
      <c r="BE79" s="12">
        <f>IF($H79=3,IF(OR($F79="DDV",$F79="DDG",$F79="DD"),'Fleet Tech - Tech'!L$3,IF($F79="CL",'Fleet Tech - Tech'!L$4,IF($F79="CA",'Fleet Tech - Tech'!L$5,IF($F79="BC",'Fleet Tech - Tech'!L$6,IF($F79="BB",'Fleet Tech - Tech'!L$7,IF($F79="CVL",'Fleet Tech - Tech'!L$8,IF($F79="CV",'Fleet Tech - Tech'!L$9,IF($F79="SS",'Fleet Tech - Tech'!L$10,IF($F79="BBV",'Fleet Tech - Tech'!L$11,IF($F79="CB",'Fleet Tech - Tech'!L$15,IF($F79="AE",'Fleet Tech - Tech'!L$16,IF($F79="IX",'Fleet Tech - Tech'!L$17,IF($F79="BM",'Fleet Tech - Tech'!L$13,IF($F79="AR",'Fleet Tech - Tech'!L$12,IF($F79="SSV",'Fleet Tech - Tech'!L$14,"nil"))))))))))))))),0)</f>
        <v>0</v>
      </c>
      <c r="BF79" s="12">
        <f>IF($H79=3,IF(OR($F79="DDV",$F79="DDG",$F79="DD"),'Fleet Tech - Tech'!M$3,IF($F79="CL",'Fleet Tech - Tech'!M$4,IF($F79="CA",'Fleet Tech - Tech'!M$5,IF($F79="BC",'Fleet Tech - Tech'!M$6,IF($F79="BB",'Fleet Tech - Tech'!M$7,IF($F79="CVL",'Fleet Tech - Tech'!M$8,IF($F79="CV",'Fleet Tech - Tech'!M$9,IF($F79="SS",'Fleet Tech - Tech'!M$10,IF($F79="BBV",'Fleet Tech - Tech'!M$11,IF($F79="CB",'Fleet Tech - Tech'!M$15,IF($F79="AE",'Fleet Tech - Tech'!M$16,IF($F79="IX",'Fleet Tech - Tech'!M$17,IF($F79="BM",'Fleet Tech - Tech'!M$13,IF($F79="AR",'Fleet Tech - Tech'!M$12,IF($F79="SSV",'Fleet Tech - Tech'!M$14,"nil"))))))))))))))),0)</f>
        <v>0</v>
      </c>
      <c r="BG79" s="12">
        <f>IF($H79=3,IF(OR($F79="DDV",$F79="DDG",$F79="DD"),'Fleet Tech - Tech'!N$3,IF($F79="CL",'Fleet Tech - Tech'!N$4,IF($F79="CA",'Fleet Tech - Tech'!N$5,IF($F79="BC",'Fleet Tech - Tech'!N$6,IF($F79="BB",'Fleet Tech - Tech'!N$7,IF($F79="CVL",'Fleet Tech - Tech'!N$8,IF($F79="CV",'Fleet Tech - Tech'!N$9,IF($F79="SS",'Fleet Tech - Tech'!N$10,IF($F79="BBV",'Fleet Tech - Tech'!N$11,IF($F79="CB",'Fleet Tech - Tech'!N$15,IF($F79="AE",'Fleet Tech - Tech'!N$16,IF($F79="IX",'Fleet Tech - Tech'!N$17,IF($F79="BM",'Fleet Tech - Tech'!N$13,IF($F79="AR",'Fleet Tech - Tech'!N$12,IF($F79="SSV",'Fleet Tech - Tech'!N$14,"nil"))))))))))))))),0)</f>
        <v>0</v>
      </c>
      <c r="BH79" s="28"/>
      <c r="BI79" s="28"/>
      <c r="BJ79" s="28"/>
      <c r="BK79" s="28"/>
      <c r="BL79" s="28"/>
      <c r="BM79" s="28"/>
      <c r="BN79" s="28"/>
      <c r="BO79" s="28"/>
      <c r="BP79" s="28"/>
      <c r="BQ79" s="28"/>
      <c r="BR79" s="28"/>
      <c r="BS79" s="28"/>
      <c r="BT79" s="28"/>
      <c r="BU79" s="28"/>
      <c r="BV79" s="28"/>
      <c r="BW79" s="28"/>
      <c r="BX79" s="12">
        <v>-1</v>
      </c>
      <c r="BY79" s="12">
        <v>-1</v>
      </c>
      <c r="BZ79" s="12">
        <v>-1</v>
      </c>
      <c r="CA79" s="12">
        <v>-1</v>
      </c>
      <c r="CB79" s="12">
        <v>-1</v>
      </c>
      <c r="CC79" s="12">
        <v>-1</v>
      </c>
      <c r="CD79" s="12">
        <v>-1</v>
      </c>
      <c r="CE79" s="12">
        <v>-1</v>
      </c>
      <c r="CF79" s="12">
        <v>-1</v>
      </c>
      <c r="CG79" s="12">
        <v>-1</v>
      </c>
      <c r="CH79" s="12">
        <v>-1</v>
      </c>
      <c r="CI79" s="12">
        <v>-1</v>
      </c>
      <c r="CJ79" s="47"/>
      <c r="CK79" s="48">
        <f>IF(BX79=5,320,IF(BX79=4,195,IF(BX79=3,132,IF(BX79=2,90,IF(BX79=1,58,IF(BX79=-1,0,35))))))</f>
        <v>0</v>
      </c>
      <c r="CL79" s="48">
        <f>IF(BX79=5,20,IF(BX79=4,15,IF(BX79=3,12,IF(BX79=2,10,IF(BX79=1,8,IF(BX79=-1,0,5))))))</f>
        <v>0</v>
      </c>
      <c r="CM79" s="48">
        <f>IF(BZ79=5,320,IF(BZ79=4,195,IF(BZ79=3,132,IF(BZ79=2,90,IF(BZ79=1,58,IF(BZ79=-1,0,35))))))</f>
        <v>0</v>
      </c>
      <c r="CN79" s="48">
        <f>IF(BZ79=5,20,IF(BZ79=4,15,IF(BZ79=3,12,IF(BZ79=2,10,IF(BZ79=1,8,IF(BZ79=-1,0,5))))))</f>
        <v>0</v>
      </c>
      <c r="CO79" s="48">
        <f>IF(CB79=5,320,IF(CB79=4,195,IF(CB79=3,132,IF(CB79=2,90,IF(CB79=1,58,IF(CB79=-1,0,35))))))</f>
        <v>0</v>
      </c>
      <c r="CP79" s="48">
        <f>IF(CB79=5,20,IF(CB79=4,15,IF(CB79=3,12,IF(CB79=2,10,IF(CB79=1,8,IF(CB79=-1,0,5))))))</f>
        <v>0</v>
      </c>
      <c r="CQ79" s="48">
        <f>IF(CD79=5,320,IF(CD79=4,195,IF(CD79=3,132,IF(CD79=2,90,IF(CD79=1,58,IF(CD79=-1,0,35))))))</f>
        <v>0</v>
      </c>
      <c r="CR79" s="48">
        <f>IF(CD79=5,20,IF(CD79=4,15,IF(CD79=3,12,IF(CD79=2,10,IF(CD79=1,8,IF(CD79=-1,0,5))))))</f>
        <v>0</v>
      </c>
      <c r="CS79" s="48">
        <f>IF(CF79=5,320,IF(CF79=4,195,IF(CF79=3,132,IF(CF79=2,90,IF(CF79=1,58,IF(CF79=-1,0,35))))))</f>
        <v>0</v>
      </c>
      <c r="CT79" s="48">
        <f>IF(CF79=5,20,IF(CF79=4,15,IF(CF79=3,12,IF(CF79=2,10,IF(CF79=1,8,IF(CF79=-1,0,5))))))</f>
        <v>0</v>
      </c>
      <c r="CU79" s="48">
        <f>IF(CH79=5,320,IF(CH79=4,195,IF(CH79=3,132,IF(CH79=2,90,IF(CH79=1,58,IF(CH79=-1,0,35))))))</f>
        <v>0</v>
      </c>
      <c r="CV79" s="48">
        <f>IF(CH79=5,20,IF(CH79=4,15,IF(CH79=3,12,IF(CH79=2,10,IF(CH79=1,8,IF(CH79=-1,0,5))))))</f>
        <v>0</v>
      </c>
      <c r="CW79" s="48">
        <f>IF(BY79&gt;10,(BY79/10)-ROUNDDOWN(BY79/10,0),0)+IF(CA79&gt;10,(CA79/10)-ROUNDDOWN(CA79/10,0),0)+IF(CC79&gt;10,(CC79/10)-ROUNDDOWN(CC79/10,0),0)+IF(CE79&gt;10,(CE79/10)-ROUNDDOWN(CE79/10,0),0)+IF(CG79&gt;10,(CG79/10)-ROUNDDOWN(CG79/10,0),0)+IF(CI79&gt;10,(CI79/10)-ROUNDDOWN(CI79/10,0),0)</f>
        <v>0</v>
      </c>
      <c r="CX79" s="48">
        <f>1+(CW79/10)</f>
        <v>1</v>
      </c>
    </row>
    <row r="80" ht="20.05" customHeight="1">
      <c r="A80" t="s" s="43">
        <v>359</v>
      </c>
      <c r="B80" s="49"/>
      <c r="C80" t="s" s="45">
        <v>73</v>
      </c>
      <c r="D80" s="13">
        <v>7</v>
      </c>
      <c r="E80" t="s" s="15">
        <v>232</v>
      </c>
      <c r="F80" t="s" s="15">
        <v>275</v>
      </c>
      <c r="G80" t="s" s="15">
        <v>282</v>
      </c>
      <c r="H80" s="12">
        <v>2</v>
      </c>
      <c r="I80" t="s" s="15">
        <v>277</v>
      </c>
      <c r="J80" s="12">
        <v>53</v>
      </c>
      <c r="K80" t="s" s="14">
        <v>242</v>
      </c>
      <c r="L80" t="s" s="15">
        <v>237</v>
      </c>
      <c r="M80" t="s" s="15">
        <v>25</v>
      </c>
      <c r="N80" s="46">
        <f>ROUND((SUM(AA80,T80:Y80,AC80:AE80,Z80*10)-AB80*15)*(IF(K80="Heavy",0.15,IF(K80="Medium",0,IF(K80="Light",-0.15,10)))+1),0)</f>
        <v>549</v>
      </c>
      <c r="O80" s="46">
        <v>1566</v>
      </c>
      <c r="P80" s="46">
        <f>ROUNDDOWN((BI80+AU80+AG80)/5,0)+(BJ80+AV80+AH80)+(BN80+AZ80+AL80)+(BO80+BA80+AM80)+(BK80+AW80+AI80)+(BS80+BE80+AQ80)+(BL80+AX80+AJ80)+(BQ80+BC80+AO80)+(2*((BT80+BF80+AR80)+(BU80+BG80+AS80)))+(CK80+CM80+CO80+CQ80+CS80+CU80)+(CL80*BY80)+(CN80*CA80)+(CP80+CC80)+(CR80+CE80)+(CT80+CG80)+(CV80+CI80)+BV80</f>
        <v>2110</v>
      </c>
      <c r="Q80" s="46">
        <f>ROUNDDOWN(((S80/5)+T80+X80+Y80+U80+AC80+V80+AA80+(2*(AD80+AE80))+CK80+CM80+CO80+CQ80+CS80+CU80+(CL80*BX80)+(CN80*BZ80)+(CP80*CB80)+(CR80*CD80)+(CT80*CF80)+(CV80*CH80))*CX80,0)</f>
        <v>1682</v>
      </c>
      <c r="R80" s="46">
        <f>ROUNDDOWN(AVERAGE(P80:Q80),0)</f>
        <v>1896</v>
      </c>
      <c r="S80" s="12">
        <f>AG80+AU80+BI80</f>
        <v>2290</v>
      </c>
      <c r="T80" s="12">
        <f>AH80+AV80+BJ80</f>
        <v>167</v>
      </c>
      <c r="U80" s="12">
        <f>AI80+AW80+BK80</f>
        <v>107</v>
      </c>
      <c r="V80" s="12">
        <f>AJ80+AX80+BL80</f>
        <v>0</v>
      </c>
      <c r="W80" s="12">
        <f>AK80+AY80+BM80</f>
        <v>36</v>
      </c>
      <c r="X80" s="12">
        <f>AL80+AZ80+BN80</f>
        <v>126</v>
      </c>
      <c r="Y80" s="12">
        <f>AM80+BA80+BO80</f>
        <v>0</v>
      </c>
      <c r="Z80" s="12">
        <f>AN80+BB80+BP80</f>
        <v>0</v>
      </c>
      <c r="AA80" s="12">
        <f>AO80+BC80+BQ80</f>
        <v>22</v>
      </c>
      <c r="AB80" s="12">
        <f>AP80+BD80+BR80</f>
        <v>7</v>
      </c>
      <c r="AC80" s="12">
        <f>AQ80+BE80+BS80</f>
        <v>94</v>
      </c>
      <c r="AD80" s="12">
        <f>AR80+BF80+BT80</f>
        <v>26</v>
      </c>
      <c r="AE80" s="12">
        <f>AS80+BG80+BU80</f>
        <v>76</v>
      </c>
      <c r="AF80" s="28"/>
      <c r="AG80" s="12">
        <v>0</v>
      </c>
      <c r="AH80" s="12">
        <v>25</v>
      </c>
      <c r="AI80" s="12">
        <v>25</v>
      </c>
      <c r="AJ80" s="12">
        <v>0</v>
      </c>
      <c r="AK80" s="12">
        <v>0</v>
      </c>
      <c r="AL80" s="12">
        <v>25</v>
      </c>
      <c r="AM80" s="12">
        <v>0</v>
      </c>
      <c r="AN80" s="12">
        <v>0</v>
      </c>
      <c r="AO80" s="12">
        <v>0</v>
      </c>
      <c r="AP80" s="12">
        <v>0</v>
      </c>
      <c r="AQ80" s="12">
        <v>0</v>
      </c>
      <c r="AR80" s="12">
        <v>0</v>
      </c>
      <c r="AS80" s="12">
        <v>0</v>
      </c>
      <c r="AT80" s="28"/>
      <c r="AU80" s="12">
        <f>IF($H80=3,IF(OR($F80="DDV",$F80="DDG",$F80="DD"),'Fleet Tech - Tech'!B$3,IF($F80="CL",'Fleet Tech - Tech'!B$4,IF($F80="CA",'Fleet Tech - Tech'!B$5,IF($F80="BC",'Fleet Tech - Tech'!B$6,IF($F80="BB",'Fleet Tech - Tech'!B$7,IF($F80="CVL",'Fleet Tech - Tech'!B$8,IF($F80="CV",'Fleet Tech - Tech'!B$9,IF($F80="SS",'Fleet Tech - Tech'!B$10,IF($F80="BBV",'Fleet Tech - Tech'!B$11,IF($F80="CB",'Fleet Tech - Tech'!B$15,IF($F80="AE",'Fleet Tech - Tech'!B$16,IF($F80="IX",'Fleet Tech - Tech'!B$17,IF($F80="BM",'Fleet Tech - Tech'!B$13,IF($F80="AR",'Fleet Tech - Tech'!B$12,IF($F80="SSV",'Fleet Tech - Tech'!B$14,"nil"))))))))))))))),0)</f>
        <v>0</v>
      </c>
      <c r="AV80" s="12">
        <f>IF($H80=3,IF(OR($F80="DDV",$F80="DDG",$F80="DD"),'Fleet Tech - Tech'!C$3,IF($F80="CL",'Fleet Tech - Tech'!C$4,IF($F80="CA",'Fleet Tech - Tech'!C$5,IF($F80="BC",'Fleet Tech - Tech'!C$6,IF($F80="BB",'Fleet Tech - Tech'!C$7,IF($F80="CVL",'Fleet Tech - Tech'!C$8,IF($F80="CV",'Fleet Tech - Tech'!C$9,IF($F80="SS",'Fleet Tech - Tech'!C$10,IF($F80="BBV",'Fleet Tech - Tech'!C$11,IF($F80="CB",'Fleet Tech - Tech'!C$15,IF($F80="AE",'Fleet Tech - Tech'!C$16,IF($F80="IX",'Fleet Tech - Tech'!C$17,IF($F80="BM",'Fleet Tech - Tech'!C$13,IF($F80="AR",'Fleet Tech - Tech'!C$12,IF($F80="SSV",'Fleet Tech - Tech'!C$14,"nil"))))))))))))))),0)</f>
        <v>0</v>
      </c>
      <c r="AW80" s="12">
        <f>IF($H80=3,IF(OR($F80="DDV",$F80="DDG",$F80="DD"),'Fleet Tech - Tech'!D$3,IF($F80="CL",'Fleet Tech - Tech'!D$4,IF($F80="CA",'Fleet Tech - Tech'!D$5,IF($F80="BC",'Fleet Tech - Tech'!D$6,IF($F80="BB",'Fleet Tech - Tech'!D$7,IF($F80="CVL",'Fleet Tech - Tech'!D$8,IF($F80="CV",'Fleet Tech - Tech'!D$9,IF($F80="SS",'Fleet Tech - Tech'!D$10,IF($F80="BBV",'Fleet Tech - Tech'!D$11,IF($F80="CB",'Fleet Tech - Tech'!D$15,IF($F80="AE",'Fleet Tech - Tech'!D$16,IF($F80="IX",'Fleet Tech - Tech'!D$17,IF($F80="BM",'Fleet Tech - Tech'!D$13,IF($F80="AR",'Fleet Tech - Tech'!D$12,IF($F80="SSV",'Fleet Tech - Tech'!D$14,"nil"))))))))))))))),0)</f>
        <v>0</v>
      </c>
      <c r="AX80" s="12">
        <f>IF($H80=3,IF(OR($F80="DDV",$F80="DDG",$F80="DD"),'Fleet Tech - Tech'!E$3,IF($F80="CL",'Fleet Tech - Tech'!E$4,IF($F80="CA",'Fleet Tech - Tech'!E$5,IF($F80="BC",'Fleet Tech - Tech'!E$6,IF($F80="BB",'Fleet Tech - Tech'!E$7,IF($F80="CVL",'Fleet Tech - Tech'!E$8,IF($F80="CV",'Fleet Tech - Tech'!E$9,IF($F80="SS",'Fleet Tech - Tech'!E$10,IF($F80="BBV",'Fleet Tech - Tech'!E$11,IF($F80="CB",'Fleet Tech - Tech'!E$15,IF($F80="AE",'Fleet Tech - Tech'!E$16,IF($F80="IX",'Fleet Tech - Tech'!E$17,IF($F80="BM",'Fleet Tech - Tech'!E$13,IF($F80="AR",'Fleet Tech - Tech'!E$12,IF($F80="SSV",'Fleet Tech - Tech'!E$14,"nil"))))))))))))))),0)</f>
        <v>0</v>
      </c>
      <c r="AY80" s="12">
        <f>IF($H80=3,IF(OR($F80="DDV",$F80="DDG",$F80="DD"),'Fleet Tech - Tech'!F$3,IF($F80="CL",'Fleet Tech - Tech'!F$4,IF($F80="CA",'Fleet Tech - Tech'!F$5,IF($F80="BC",'Fleet Tech - Tech'!F$6,IF($F80="BB",'Fleet Tech - Tech'!F$7,IF($F80="CVL",'Fleet Tech - Tech'!F$8,IF($F80="CV",'Fleet Tech - Tech'!F$9,IF($F80="SS",'Fleet Tech - Tech'!F$10,IF($F80="BBV",'Fleet Tech - Tech'!F$11,IF($F80="CB",'Fleet Tech - Tech'!F$15,IF($F80="AE",'Fleet Tech - Tech'!F$16,IF($F80="IX",'Fleet Tech - Tech'!F$17,IF($F80="BM",'Fleet Tech - Tech'!F$13,IF($F80="AR",'Fleet Tech - Tech'!F$12,IF($F80="SSV",'Fleet Tech - Tech'!F$14,"nil"))))))))))))))),0)</f>
        <v>0</v>
      </c>
      <c r="AZ80" s="12">
        <f>IF($H80=3,IF(OR($F80="DDV",$F80="DDG",$F80="DD"),'Fleet Tech - Tech'!G$3,IF($F80="CL",'Fleet Tech - Tech'!G$4,IF($F80="CA",'Fleet Tech - Tech'!G$5,IF($F80="BC",'Fleet Tech - Tech'!G$6,IF($F80="BB",'Fleet Tech - Tech'!G$7,IF($F80="CVL",'Fleet Tech - Tech'!G$8,IF($F80="CV",'Fleet Tech - Tech'!G$9,IF($F80="SS",'Fleet Tech - Tech'!G$10,IF($F80="BBV",'Fleet Tech - Tech'!G$11,IF($F80="CB",'Fleet Tech - Tech'!G$15,IF($F80="AE",'Fleet Tech - Tech'!G$16,IF($F80="IX",'Fleet Tech - Tech'!G$17,IF($F80="BM",'Fleet Tech - Tech'!G$13,IF($F80="AR",'Fleet Tech - Tech'!G$12,IF($F80="SSV",'Fleet Tech - Tech'!G$14,"nil"))))))))))))))),0)</f>
        <v>0</v>
      </c>
      <c r="BA80" s="12">
        <f>IF($H80=3,IF(OR($F80="DDV",$F80="DDG",$F80="DD"),'Fleet Tech - Tech'!H$3,IF($F80="CL",'Fleet Tech - Tech'!H$4,IF($F80="CA",'Fleet Tech - Tech'!H$5,IF($F80="BC",'Fleet Tech - Tech'!H$6,IF($F80="BB",'Fleet Tech - Tech'!H$7,IF($F80="CVL",'Fleet Tech - Tech'!H$8,IF($F80="CV",'Fleet Tech - Tech'!H$9,IF($F80="SS",'Fleet Tech - Tech'!H$10,IF($F80="BBV",'Fleet Tech - Tech'!H$11,IF($F80="CB",'Fleet Tech - Tech'!H$15,IF($F80="AE",'Fleet Tech - Tech'!H$16,IF($F80="IX",'Fleet Tech - Tech'!H$17,IF($F80="BM",'Fleet Tech - Tech'!H$13,IF($F80="AR",'Fleet Tech - Tech'!H$12,IF($F80="SSV",'Fleet Tech - Tech'!H$14,"nil"))))))))))))))),0)</f>
        <v>0</v>
      </c>
      <c r="BB80" s="12">
        <f>IF($H80=3,IF(OR($F80="DDV",$F80="DDG",$F80="DD"),'Fleet Tech - Tech'!I$3,IF($F80="CL",'Fleet Tech - Tech'!I$4,IF($F80="CA",'Fleet Tech - Tech'!I$5,IF($F80="BC",'Fleet Tech - Tech'!I$6,IF($F80="BB",'Fleet Tech - Tech'!I$7,IF($F80="CVL",'Fleet Tech - Tech'!I$8,IF($F80="CV",'Fleet Tech - Tech'!I$9,IF($F80="SS",'Fleet Tech - Tech'!I$10,IF($F80="BBV",'Fleet Tech - Tech'!I$11,IF($F80="CB",'Fleet Tech - Tech'!I$15,IF($F80="AE",'Fleet Tech - Tech'!I$16,IF($F80="IX",'Fleet Tech - Tech'!I$17,IF($F80="BM",'Fleet Tech - Tech'!I$13,IF($F80="AR",'Fleet Tech - Tech'!I$12,IF($F80="SSV",'Fleet Tech - Tech'!I$14,"nil"))))))))))))))),0)</f>
        <v>0</v>
      </c>
      <c r="BC80" s="12">
        <f>IF($H80=3,IF(OR($F80="DDV",$F80="DDG",$F80="DD"),'Fleet Tech - Tech'!J$3,IF($F80="CL",'Fleet Tech - Tech'!J$4,IF($F80="CA",'Fleet Tech - Tech'!J$5,IF($F80="BC",'Fleet Tech - Tech'!J$6,IF($F80="BB",'Fleet Tech - Tech'!J$7,IF($F80="CVL",'Fleet Tech - Tech'!J$8,IF($F80="CV",'Fleet Tech - Tech'!J$9,IF($F80="SS",'Fleet Tech - Tech'!J$10,IF($F80="BBV",'Fleet Tech - Tech'!J$11,IF($F80="CB",'Fleet Tech - Tech'!J$15,IF($F80="AE",'Fleet Tech - Tech'!J$16,IF($F80="IX",'Fleet Tech - Tech'!J$17,IF($F80="BM",'Fleet Tech - Tech'!J$13,IF($F80="AR",'Fleet Tech - Tech'!J$12,IF($F80="SSV",'Fleet Tech - Tech'!J$14,"nil"))))))))))))))),0)</f>
        <v>0</v>
      </c>
      <c r="BD80" s="12">
        <f>IF($H80=3,IF(OR($F80="DDV",$F80="DDG",$F80="DD"),'Fleet Tech - Tech'!K$3,IF($F80="CL",'Fleet Tech - Tech'!K$4,IF($F80="CA",'Fleet Tech - Tech'!K$5,IF($F80="BC",'Fleet Tech - Tech'!K$6,IF($F80="BB",'Fleet Tech - Tech'!K$7,IF($F80="CVL",'Fleet Tech - Tech'!K$8,IF($F80="CV",'Fleet Tech - Tech'!K$9,IF($F80="SS",'Fleet Tech - Tech'!K$10,IF($F80="BBV",'Fleet Tech - Tech'!K$11,IF($F80="CB",'Fleet Tech - Tech'!K$15,IF($F80="AE",'Fleet Tech - Tech'!K$16,IF($F80="IX",'Fleet Tech - Tech'!K$17,IF($F80="BM",'Fleet Tech - Tech'!K$13,IF($F80="AR",'Fleet Tech - Tech'!K$12,IF($F80="SSV",'Fleet Tech - Tech'!K$14,"nil"))))))))))))))),0)</f>
        <v>0</v>
      </c>
      <c r="BE80" s="12">
        <f>IF($H80=3,IF(OR($F80="DDV",$F80="DDG",$F80="DD"),'Fleet Tech - Tech'!L$3,IF($F80="CL",'Fleet Tech - Tech'!L$4,IF($F80="CA",'Fleet Tech - Tech'!L$5,IF($F80="BC",'Fleet Tech - Tech'!L$6,IF($F80="BB",'Fleet Tech - Tech'!L$7,IF($F80="CVL",'Fleet Tech - Tech'!L$8,IF($F80="CV",'Fleet Tech - Tech'!L$9,IF($F80="SS",'Fleet Tech - Tech'!L$10,IF($F80="BBV",'Fleet Tech - Tech'!L$11,IF($F80="CB",'Fleet Tech - Tech'!L$15,IF($F80="AE",'Fleet Tech - Tech'!L$16,IF($F80="IX",'Fleet Tech - Tech'!L$17,IF($F80="BM",'Fleet Tech - Tech'!L$13,IF($F80="AR",'Fleet Tech - Tech'!L$12,IF($F80="SSV",'Fleet Tech - Tech'!L$14,"nil"))))))))))))))),0)</f>
        <v>0</v>
      </c>
      <c r="BF80" s="12">
        <f>IF($H80=3,IF(OR($F80="DDV",$F80="DDG",$F80="DD"),'Fleet Tech - Tech'!M$3,IF($F80="CL",'Fleet Tech - Tech'!M$4,IF($F80="CA",'Fleet Tech - Tech'!M$5,IF($F80="BC",'Fleet Tech - Tech'!M$6,IF($F80="BB",'Fleet Tech - Tech'!M$7,IF($F80="CVL",'Fleet Tech - Tech'!M$8,IF($F80="CV",'Fleet Tech - Tech'!M$9,IF($F80="SS",'Fleet Tech - Tech'!M$10,IF($F80="BBV",'Fleet Tech - Tech'!M$11,IF($F80="CB",'Fleet Tech - Tech'!M$15,IF($F80="AE",'Fleet Tech - Tech'!M$16,IF($F80="IX",'Fleet Tech - Tech'!M$17,IF($F80="BM",'Fleet Tech - Tech'!M$13,IF($F80="AR",'Fleet Tech - Tech'!M$12,IF($F80="SSV",'Fleet Tech - Tech'!M$14,"nil"))))))))))))))),0)</f>
        <v>0</v>
      </c>
      <c r="BG80" s="12">
        <f>IF($H80=3,IF(OR($F80="DDV",$F80="DDG",$F80="DD"),'Fleet Tech - Tech'!N$3,IF($F80="CL",'Fleet Tech - Tech'!N$4,IF($F80="CA",'Fleet Tech - Tech'!N$5,IF($F80="BC",'Fleet Tech - Tech'!N$6,IF($F80="BB",'Fleet Tech - Tech'!N$7,IF($F80="CVL",'Fleet Tech - Tech'!N$8,IF($F80="CV",'Fleet Tech - Tech'!N$9,IF($F80="SS",'Fleet Tech - Tech'!N$10,IF($F80="BBV",'Fleet Tech - Tech'!N$11,IF($F80="CB",'Fleet Tech - Tech'!N$15,IF($F80="AE",'Fleet Tech - Tech'!N$16,IF($F80="IX",'Fleet Tech - Tech'!N$17,IF($F80="BM",'Fleet Tech - Tech'!N$13,IF($F80="AR",'Fleet Tech - Tech'!N$12,IF($F80="SSV",'Fleet Tech - Tech'!N$14,"nil"))))))))))))))),0)</f>
        <v>0</v>
      </c>
      <c r="BH80" s="28"/>
      <c r="BI80" s="12">
        <v>2290</v>
      </c>
      <c r="BJ80" s="12">
        <v>142</v>
      </c>
      <c r="BK80" s="12">
        <v>82</v>
      </c>
      <c r="BL80" s="12">
        <v>0</v>
      </c>
      <c r="BM80" s="12">
        <v>36</v>
      </c>
      <c r="BN80" s="12">
        <v>101</v>
      </c>
      <c r="BO80" s="12">
        <v>0</v>
      </c>
      <c r="BP80" s="12">
        <v>0</v>
      </c>
      <c r="BQ80" s="12">
        <v>22</v>
      </c>
      <c r="BR80" s="12">
        <v>7</v>
      </c>
      <c r="BS80" s="12">
        <v>94</v>
      </c>
      <c r="BT80" s="12">
        <v>26</v>
      </c>
      <c r="BU80" s="12">
        <v>76</v>
      </c>
      <c r="BV80" s="12">
        <v>335</v>
      </c>
      <c r="BW80" s="28"/>
      <c r="BX80" s="12">
        <v>3</v>
      </c>
      <c r="BY80" s="12">
        <v>10</v>
      </c>
      <c r="BZ80" s="12">
        <v>3</v>
      </c>
      <c r="CA80" s="12">
        <v>6</v>
      </c>
      <c r="CB80" s="12">
        <v>3</v>
      </c>
      <c r="CC80" s="12">
        <v>0</v>
      </c>
      <c r="CD80" s="12">
        <v>-1</v>
      </c>
      <c r="CE80" s="12">
        <v>-1</v>
      </c>
      <c r="CF80" s="12">
        <v>-1</v>
      </c>
      <c r="CG80" s="12">
        <v>-1</v>
      </c>
      <c r="CH80" s="12">
        <v>-1</v>
      </c>
      <c r="CI80" s="12">
        <v>-1</v>
      </c>
      <c r="CJ80" s="47"/>
      <c r="CK80" s="48">
        <f>IF(BX80=5,320,IF(BX80=4,195,IF(BX80=3,132,IF(BX80=2,90,IF(BX80=1,58,IF(BX80=-1,0,35))))))</f>
        <v>132</v>
      </c>
      <c r="CL80" s="48">
        <f>IF(BX80=5,20,IF(BX80=4,15,IF(BX80=3,12,IF(BX80=2,10,IF(BX80=1,8,IF(BX80=-1,0,5))))))</f>
        <v>12</v>
      </c>
      <c r="CM80" s="48">
        <f>IF(BZ80=5,320,IF(BZ80=4,195,IF(BZ80=3,132,IF(BZ80=2,90,IF(BZ80=1,58,IF(BZ80=-1,0,35))))))</f>
        <v>132</v>
      </c>
      <c r="CN80" s="48">
        <f>IF(BZ80=5,20,IF(BZ80=4,15,IF(BZ80=3,12,IF(BZ80=2,10,IF(BZ80=1,8,IF(BZ80=-1,0,5))))))</f>
        <v>12</v>
      </c>
      <c r="CO80" s="48">
        <f>IF(CB80=5,320,IF(CB80=4,195,IF(CB80=3,132,IF(CB80=2,90,IF(CB80=1,58,IF(CB80=-1,0,35))))))</f>
        <v>132</v>
      </c>
      <c r="CP80" s="48">
        <f>IF(CB80=5,20,IF(CB80=4,15,IF(CB80=3,12,IF(CB80=2,10,IF(CB80=1,8,IF(CB80=-1,0,5))))))</f>
        <v>12</v>
      </c>
      <c r="CQ80" s="48">
        <f>IF(CD80=5,320,IF(CD80=4,195,IF(CD80=3,132,IF(CD80=2,90,IF(CD80=1,58,IF(CD80=-1,0,35))))))</f>
        <v>0</v>
      </c>
      <c r="CR80" s="48">
        <f>IF(CD80=5,20,IF(CD80=4,15,IF(CD80=3,12,IF(CD80=2,10,IF(CD80=1,8,IF(CD80=-1,0,5))))))</f>
        <v>0</v>
      </c>
      <c r="CS80" s="48">
        <f>IF(CF80=5,320,IF(CF80=4,195,IF(CF80=3,132,IF(CF80=2,90,IF(CF80=1,58,IF(CF80=-1,0,35))))))</f>
        <v>0</v>
      </c>
      <c r="CT80" s="48">
        <f>IF(CF80=5,20,IF(CF80=4,15,IF(CF80=3,12,IF(CF80=2,10,IF(CF80=1,8,IF(CF80=-1,0,5))))))</f>
        <v>0</v>
      </c>
      <c r="CU80" s="48">
        <f>IF(CH80=5,320,IF(CH80=4,195,IF(CH80=3,132,IF(CH80=2,90,IF(CH80=1,58,IF(CH80=-1,0,35))))))</f>
        <v>0</v>
      </c>
      <c r="CV80" s="48">
        <f>IF(CH80=5,20,IF(CH80=4,15,IF(CH80=3,12,IF(CH80=2,10,IF(CH80=1,8,IF(CH80=-1,0,5))))))</f>
        <v>0</v>
      </c>
      <c r="CW80" s="48">
        <f>IF(BY80&gt;10,(BY80/10)-ROUNDDOWN(BY80/10,0),0)+IF(CA80&gt;10,(CA80/10)-ROUNDDOWN(CA80/10,0),0)+IF(CC80&gt;10,(CC80/10)-ROUNDDOWN(CC80/10,0),0)+IF(CE80&gt;10,(CE80/10)-ROUNDDOWN(CE80/10,0),0)+IF(CG80&gt;10,(CG80/10)-ROUNDDOWN(CG80/10,0),0)+IF(CI80&gt;10,(CI80/10)-ROUNDDOWN(CI80/10,0),0)</f>
        <v>0</v>
      </c>
      <c r="CX80" s="48">
        <f>1+(CW80/10)</f>
        <v>1</v>
      </c>
    </row>
    <row r="81" ht="20.05" customHeight="1">
      <c r="A81" t="s" s="43">
        <v>360</v>
      </c>
      <c r="B81" s="49"/>
      <c r="C81" t="s" s="45">
        <v>279</v>
      </c>
      <c r="D81" s="13">
        <v>7</v>
      </c>
      <c r="E81" t="s" s="15">
        <v>232</v>
      </c>
      <c r="F81" t="s" s="15">
        <v>275</v>
      </c>
      <c r="G81" t="s" s="15">
        <v>282</v>
      </c>
      <c r="H81" s="12">
        <v>2</v>
      </c>
      <c r="I81" t="s" s="15">
        <v>300</v>
      </c>
      <c r="J81" s="12">
        <v>53</v>
      </c>
      <c r="K81" t="s" s="14">
        <v>236</v>
      </c>
      <c r="L81" t="s" s="15">
        <v>265</v>
      </c>
      <c r="M81" t="s" s="15">
        <v>27</v>
      </c>
      <c r="N81" s="46">
        <f>ROUND((SUM(AA81,T81:Y81,AC81:AE81,Z81*10)-AB81*15)*(IF(K81="Heavy",0.15,IF(K81="Medium",0,IF(K81="Light",-0.15,10)))+1),0)</f>
        <v>0</v>
      </c>
      <c r="O81" s="50"/>
      <c r="P81" s="46">
        <f>ROUNDDOWN((BI81+AU81+AG81)/5,0)+(BJ81+AV81+AH81)+(BN81+AZ81+AL81)+(BO81+BA81+AM81)+(BK81+AW81+AI81)+(BS81+BE81+AQ81)+(BL81+AX81+AJ81)+(BQ81+BC81+AO81)+(2*((BT81+BF81+AR81)+(BU81+BG81+AS81)))+(CK81+CM81+CO81+CQ81+CS81+CU81)+(CL81*BY81)+(CN81*CA81)+(CP81+CC81)+(CR81+CE81)+(CT81+CG81)+(CV81+CI81)+BV81</f>
        <v>-4</v>
      </c>
      <c r="Q81" s="46">
        <f>ROUNDDOWN(((S81/5)+T81+X81+Y81+U81+AC81+V81+AA81+(2*(AD81+AE81))+CK81+CM81+CO81+CQ81+CS81+CU81+(CL81*BX81)+(CN81*BZ81)+(CP81*CB81)+(CR81*CD81)+(CT81*CF81)+(CV81*CH81))*CX81,0)</f>
        <v>0</v>
      </c>
      <c r="R81" s="46">
        <f>ROUNDDOWN(AVERAGE(P81:Q81),0)</f>
        <v>-2</v>
      </c>
      <c r="S81" s="12">
        <f>AG81+AU81+BI81</f>
        <v>0</v>
      </c>
      <c r="T81" s="12">
        <f>AH81+AV81+BJ81</f>
        <v>0</v>
      </c>
      <c r="U81" s="12">
        <f>AI81+AW81+BK81</f>
        <v>0</v>
      </c>
      <c r="V81" s="12">
        <f>AJ81+AX81+BL81</f>
        <v>0</v>
      </c>
      <c r="W81" s="12">
        <f>AK81+AY81+BM81</f>
        <v>0</v>
      </c>
      <c r="X81" s="12">
        <f>AL81+AZ81+BN81</f>
        <v>0</v>
      </c>
      <c r="Y81" s="12">
        <f>AM81+BA81+BO81</f>
        <v>0</v>
      </c>
      <c r="Z81" s="12">
        <f>AN81+BB81+BP81</f>
        <v>0</v>
      </c>
      <c r="AA81" s="12">
        <f>AO81+BC81+BQ81</f>
        <v>0</v>
      </c>
      <c r="AB81" s="12">
        <f>AP81+BD81+BR81</f>
        <v>0</v>
      </c>
      <c r="AC81" s="12">
        <f>AQ81+BE81+BS81</f>
        <v>0</v>
      </c>
      <c r="AD81" s="12">
        <f>AR81+BF81+BT81</f>
        <v>0</v>
      </c>
      <c r="AE81" s="12">
        <f>AS81+BG81+BU81</f>
        <v>0</v>
      </c>
      <c r="AF81" s="28"/>
      <c r="AG81" s="28"/>
      <c r="AH81" s="28"/>
      <c r="AI81" s="28"/>
      <c r="AJ81" s="28"/>
      <c r="AK81" s="28"/>
      <c r="AL81" s="28"/>
      <c r="AM81" s="28"/>
      <c r="AN81" s="28"/>
      <c r="AO81" s="28"/>
      <c r="AP81" s="28"/>
      <c r="AQ81" s="28"/>
      <c r="AR81" s="28"/>
      <c r="AS81" s="28"/>
      <c r="AT81" s="28"/>
      <c r="AU81" s="12">
        <f>IF($H81=3,IF(OR($F81="DDV",$F81="DDG",$F81="DD"),'Fleet Tech - Tech'!B$3,IF($F81="CL",'Fleet Tech - Tech'!B$4,IF($F81="CA",'Fleet Tech - Tech'!B$5,IF($F81="BC",'Fleet Tech - Tech'!B$6,IF($F81="BB",'Fleet Tech - Tech'!B$7,IF($F81="CVL",'Fleet Tech - Tech'!B$8,IF($F81="CV",'Fleet Tech - Tech'!B$9,IF($F81="SS",'Fleet Tech - Tech'!B$10,IF($F81="BBV",'Fleet Tech - Tech'!B$11,IF($F81="CB",'Fleet Tech - Tech'!B$15,IF($F81="AE",'Fleet Tech - Tech'!B$16,IF($F81="IX",'Fleet Tech - Tech'!B$17,IF($F81="BM",'Fleet Tech - Tech'!B$13,IF($F81="AR",'Fleet Tech - Tech'!B$12,IF($F81="SSV",'Fleet Tech - Tech'!B$14,"nil"))))))))))))))),0)</f>
        <v>0</v>
      </c>
      <c r="AV81" s="12">
        <f>IF($H81=3,IF(OR($F81="DDV",$F81="DDG",$F81="DD"),'Fleet Tech - Tech'!C$3,IF($F81="CL",'Fleet Tech - Tech'!C$4,IF($F81="CA",'Fleet Tech - Tech'!C$5,IF($F81="BC",'Fleet Tech - Tech'!C$6,IF($F81="BB",'Fleet Tech - Tech'!C$7,IF($F81="CVL",'Fleet Tech - Tech'!C$8,IF($F81="CV",'Fleet Tech - Tech'!C$9,IF($F81="SS",'Fleet Tech - Tech'!C$10,IF($F81="BBV",'Fleet Tech - Tech'!C$11,IF($F81="CB",'Fleet Tech - Tech'!C$15,IF($F81="AE",'Fleet Tech - Tech'!C$16,IF($F81="IX",'Fleet Tech - Tech'!C$17,IF($F81="BM",'Fleet Tech - Tech'!C$13,IF($F81="AR",'Fleet Tech - Tech'!C$12,IF($F81="SSV",'Fleet Tech - Tech'!C$14,"nil"))))))))))))))),0)</f>
        <v>0</v>
      </c>
      <c r="AW81" s="12">
        <f>IF($H81=3,IF(OR($F81="DDV",$F81="DDG",$F81="DD"),'Fleet Tech - Tech'!D$3,IF($F81="CL",'Fleet Tech - Tech'!D$4,IF($F81="CA",'Fleet Tech - Tech'!D$5,IF($F81="BC",'Fleet Tech - Tech'!D$6,IF($F81="BB",'Fleet Tech - Tech'!D$7,IF($F81="CVL",'Fleet Tech - Tech'!D$8,IF($F81="CV",'Fleet Tech - Tech'!D$9,IF($F81="SS",'Fleet Tech - Tech'!D$10,IF($F81="BBV",'Fleet Tech - Tech'!D$11,IF($F81="CB",'Fleet Tech - Tech'!D$15,IF($F81="AE",'Fleet Tech - Tech'!D$16,IF($F81="IX",'Fleet Tech - Tech'!D$17,IF($F81="BM",'Fleet Tech - Tech'!D$13,IF($F81="AR",'Fleet Tech - Tech'!D$12,IF($F81="SSV",'Fleet Tech - Tech'!D$14,"nil"))))))))))))))),0)</f>
        <v>0</v>
      </c>
      <c r="AX81" s="12">
        <f>IF($H81=3,IF(OR($F81="DDV",$F81="DDG",$F81="DD"),'Fleet Tech - Tech'!E$3,IF($F81="CL",'Fleet Tech - Tech'!E$4,IF($F81="CA",'Fleet Tech - Tech'!E$5,IF($F81="BC",'Fleet Tech - Tech'!E$6,IF($F81="BB",'Fleet Tech - Tech'!E$7,IF($F81="CVL",'Fleet Tech - Tech'!E$8,IF($F81="CV",'Fleet Tech - Tech'!E$9,IF($F81="SS",'Fleet Tech - Tech'!E$10,IF($F81="BBV",'Fleet Tech - Tech'!E$11,IF($F81="CB",'Fleet Tech - Tech'!E$15,IF($F81="AE",'Fleet Tech - Tech'!E$16,IF($F81="IX",'Fleet Tech - Tech'!E$17,IF($F81="BM",'Fleet Tech - Tech'!E$13,IF($F81="AR",'Fleet Tech - Tech'!E$12,IF($F81="SSV",'Fleet Tech - Tech'!E$14,"nil"))))))))))))))),0)</f>
        <v>0</v>
      </c>
      <c r="AY81" s="12">
        <f>IF($H81=3,IF(OR($F81="DDV",$F81="DDG",$F81="DD"),'Fleet Tech - Tech'!F$3,IF($F81="CL",'Fleet Tech - Tech'!F$4,IF($F81="CA",'Fleet Tech - Tech'!F$5,IF($F81="BC",'Fleet Tech - Tech'!F$6,IF($F81="BB",'Fleet Tech - Tech'!F$7,IF($F81="CVL",'Fleet Tech - Tech'!F$8,IF($F81="CV",'Fleet Tech - Tech'!F$9,IF($F81="SS",'Fleet Tech - Tech'!F$10,IF($F81="BBV",'Fleet Tech - Tech'!F$11,IF($F81="CB",'Fleet Tech - Tech'!F$15,IF($F81="AE",'Fleet Tech - Tech'!F$16,IF($F81="IX",'Fleet Tech - Tech'!F$17,IF($F81="BM",'Fleet Tech - Tech'!F$13,IF($F81="AR",'Fleet Tech - Tech'!F$12,IF($F81="SSV",'Fleet Tech - Tech'!F$14,"nil"))))))))))))))),0)</f>
        <v>0</v>
      </c>
      <c r="AZ81" s="12">
        <f>IF($H81=3,IF(OR($F81="DDV",$F81="DDG",$F81="DD"),'Fleet Tech - Tech'!G$3,IF($F81="CL",'Fleet Tech - Tech'!G$4,IF($F81="CA",'Fleet Tech - Tech'!G$5,IF($F81="BC",'Fleet Tech - Tech'!G$6,IF($F81="BB",'Fleet Tech - Tech'!G$7,IF($F81="CVL",'Fleet Tech - Tech'!G$8,IF($F81="CV",'Fleet Tech - Tech'!G$9,IF($F81="SS",'Fleet Tech - Tech'!G$10,IF($F81="BBV",'Fleet Tech - Tech'!G$11,IF($F81="CB",'Fleet Tech - Tech'!G$15,IF($F81="AE",'Fleet Tech - Tech'!G$16,IF($F81="IX",'Fleet Tech - Tech'!G$17,IF($F81="BM",'Fleet Tech - Tech'!G$13,IF($F81="AR",'Fleet Tech - Tech'!G$12,IF($F81="SSV",'Fleet Tech - Tech'!G$14,"nil"))))))))))))))),0)</f>
        <v>0</v>
      </c>
      <c r="BA81" s="12">
        <f>IF($H81=3,IF(OR($F81="DDV",$F81="DDG",$F81="DD"),'Fleet Tech - Tech'!H$3,IF($F81="CL",'Fleet Tech - Tech'!H$4,IF($F81="CA",'Fleet Tech - Tech'!H$5,IF($F81="BC",'Fleet Tech - Tech'!H$6,IF($F81="BB",'Fleet Tech - Tech'!H$7,IF($F81="CVL",'Fleet Tech - Tech'!H$8,IF($F81="CV",'Fleet Tech - Tech'!H$9,IF($F81="SS",'Fleet Tech - Tech'!H$10,IF($F81="BBV",'Fleet Tech - Tech'!H$11,IF($F81="CB",'Fleet Tech - Tech'!H$15,IF($F81="AE",'Fleet Tech - Tech'!H$16,IF($F81="IX",'Fleet Tech - Tech'!H$17,IF($F81="BM",'Fleet Tech - Tech'!H$13,IF($F81="AR",'Fleet Tech - Tech'!H$12,IF($F81="SSV",'Fleet Tech - Tech'!H$14,"nil"))))))))))))))),0)</f>
        <v>0</v>
      </c>
      <c r="BB81" s="12">
        <f>IF($H81=3,IF(OR($F81="DDV",$F81="DDG",$F81="DD"),'Fleet Tech - Tech'!I$3,IF($F81="CL",'Fleet Tech - Tech'!I$4,IF($F81="CA",'Fleet Tech - Tech'!I$5,IF($F81="BC",'Fleet Tech - Tech'!I$6,IF($F81="BB",'Fleet Tech - Tech'!I$7,IF($F81="CVL",'Fleet Tech - Tech'!I$8,IF($F81="CV",'Fleet Tech - Tech'!I$9,IF($F81="SS",'Fleet Tech - Tech'!I$10,IF($F81="BBV",'Fleet Tech - Tech'!I$11,IF($F81="CB",'Fleet Tech - Tech'!I$15,IF($F81="AE",'Fleet Tech - Tech'!I$16,IF($F81="IX",'Fleet Tech - Tech'!I$17,IF($F81="BM",'Fleet Tech - Tech'!I$13,IF($F81="AR",'Fleet Tech - Tech'!I$12,IF($F81="SSV",'Fleet Tech - Tech'!I$14,"nil"))))))))))))))),0)</f>
        <v>0</v>
      </c>
      <c r="BC81" s="12">
        <f>IF($H81=3,IF(OR($F81="DDV",$F81="DDG",$F81="DD"),'Fleet Tech - Tech'!J$3,IF($F81="CL",'Fleet Tech - Tech'!J$4,IF($F81="CA",'Fleet Tech - Tech'!J$5,IF($F81="BC",'Fleet Tech - Tech'!J$6,IF($F81="BB",'Fleet Tech - Tech'!J$7,IF($F81="CVL",'Fleet Tech - Tech'!J$8,IF($F81="CV",'Fleet Tech - Tech'!J$9,IF($F81="SS",'Fleet Tech - Tech'!J$10,IF($F81="BBV",'Fleet Tech - Tech'!J$11,IF($F81="CB",'Fleet Tech - Tech'!J$15,IF($F81="AE",'Fleet Tech - Tech'!J$16,IF($F81="IX",'Fleet Tech - Tech'!J$17,IF($F81="BM",'Fleet Tech - Tech'!J$13,IF($F81="AR",'Fleet Tech - Tech'!J$12,IF($F81="SSV",'Fleet Tech - Tech'!J$14,"nil"))))))))))))))),0)</f>
        <v>0</v>
      </c>
      <c r="BD81" s="12">
        <f>IF($H81=3,IF(OR($F81="DDV",$F81="DDG",$F81="DD"),'Fleet Tech - Tech'!K$3,IF($F81="CL",'Fleet Tech - Tech'!K$4,IF($F81="CA",'Fleet Tech - Tech'!K$5,IF($F81="BC",'Fleet Tech - Tech'!K$6,IF($F81="BB",'Fleet Tech - Tech'!K$7,IF($F81="CVL",'Fleet Tech - Tech'!K$8,IF($F81="CV",'Fleet Tech - Tech'!K$9,IF($F81="SS",'Fleet Tech - Tech'!K$10,IF($F81="BBV",'Fleet Tech - Tech'!K$11,IF($F81="CB",'Fleet Tech - Tech'!K$15,IF($F81="AE",'Fleet Tech - Tech'!K$16,IF($F81="IX",'Fleet Tech - Tech'!K$17,IF($F81="BM",'Fleet Tech - Tech'!K$13,IF($F81="AR",'Fleet Tech - Tech'!K$12,IF($F81="SSV",'Fleet Tech - Tech'!K$14,"nil"))))))))))))))),0)</f>
        <v>0</v>
      </c>
      <c r="BE81" s="12">
        <f>IF($H81=3,IF(OR($F81="DDV",$F81="DDG",$F81="DD"),'Fleet Tech - Tech'!L$3,IF($F81="CL",'Fleet Tech - Tech'!L$4,IF($F81="CA",'Fleet Tech - Tech'!L$5,IF($F81="BC",'Fleet Tech - Tech'!L$6,IF($F81="BB",'Fleet Tech - Tech'!L$7,IF($F81="CVL",'Fleet Tech - Tech'!L$8,IF($F81="CV",'Fleet Tech - Tech'!L$9,IF($F81="SS",'Fleet Tech - Tech'!L$10,IF($F81="BBV",'Fleet Tech - Tech'!L$11,IF($F81="CB",'Fleet Tech - Tech'!L$15,IF($F81="AE",'Fleet Tech - Tech'!L$16,IF($F81="IX",'Fleet Tech - Tech'!L$17,IF($F81="BM",'Fleet Tech - Tech'!L$13,IF($F81="AR",'Fleet Tech - Tech'!L$12,IF($F81="SSV",'Fleet Tech - Tech'!L$14,"nil"))))))))))))))),0)</f>
        <v>0</v>
      </c>
      <c r="BF81" s="12">
        <f>IF($H81=3,IF(OR($F81="DDV",$F81="DDG",$F81="DD"),'Fleet Tech - Tech'!M$3,IF($F81="CL",'Fleet Tech - Tech'!M$4,IF($F81="CA",'Fleet Tech - Tech'!M$5,IF($F81="BC",'Fleet Tech - Tech'!M$6,IF($F81="BB",'Fleet Tech - Tech'!M$7,IF($F81="CVL",'Fleet Tech - Tech'!M$8,IF($F81="CV",'Fleet Tech - Tech'!M$9,IF($F81="SS",'Fleet Tech - Tech'!M$10,IF($F81="BBV",'Fleet Tech - Tech'!M$11,IF($F81="CB",'Fleet Tech - Tech'!M$15,IF($F81="AE",'Fleet Tech - Tech'!M$16,IF($F81="IX",'Fleet Tech - Tech'!M$17,IF($F81="BM",'Fleet Tech - Tech'!M$13,IF($F81="AR",'Fleet Tech - Tech'!M$12,IF($F81="SSV",'Fleet Tech - Tech'!M$14,"nil"))))))))))))))),0)</f>
        <v>0</v>
      </c>
      <c r="BG81" s="12">
        <f>IF($H81=3,IF(OR($F81="DDV",$F81="DDG",$F81="DD"),'Fleet Tech - Tech'!N$3,IF($F81="CL",'Fleet Tech - Tech'!N$4,IF($F81="CA",'Fleet Tech - Tech'!N$5,IF($F81="BC",'Fleet Tech - Tech'!N$6,IF($F81="BB",'Fleet Tech - Tech'!N$7,IF($F81="CVL",'Fleet Tech - Tech'!N$8,IF($F81="CV",'Fleet Tech - Tech'!N$9,IF($F81="SS",'Fleet Tech - Tech'!N$10,IF($F81="BBV",'Fleet Tech - Tech'!N$11,IF($F81="CB",'Fleet Tech - Tech'!N$15,IF($F81="AE",'Fleet Tech - Tech'!N$16,IF($F81="IX",'Fleet Tech - Tech'!N$17,IF($F81="BM",'Fleet Tech - Tech'!N$13,IF($F81="AR",'Fleet Tech - Tech'!N$12,IF($F81="SSV",'Fleet Tech - Tech'!N$14,"nil"))))))))))))))),0)</f>
        <v>0</v>
      </c>
      <c r="BH81" s="28"/>
      <c r="BI81" s="28"/>
      <c r="BJ81" s="28"/>
      <c r="BK81" s="28"/>
      <c r="BL81" s="28"/>
      <c r="BM81" s="28"/>
      <c r="BN81" s="28"/>
      <c r="BO81" s="28"/>
      <c r="BP81" s="28"/>
      <c r="BQ81" s="28"/>
      <c r="BR81" s="28"/>
      <c r="BS81" s="28"/>
      <c r="BT81" s="28"/>
      <c r="BU81" s="28"/>
      <c r="BV81" s="28"/>
      <c r="BW81" s="28"/>
      <c r="BX81" s="12">
        <v>-1</v>
      </c>
      <c r="BY81" s="12">
        <v>-1</v>
      </c>
      <c r="BZ81" s="12">
        <v>-1</v>
      </c>
      <c r="CA81" s="12">
        <v>-1</v>
      </c>
      <c r="CB81" s="12">
        <v>-1</v>
      </c>
      <c r="CC81" s="12">
        <v>-1</v>
      </c>
      <c r="CD81" s="12">
        <v>-1</v>
      </c>
      <c r="CE81" s="12">
        <v>-1</v>
      </c>
      <c r="CF81" s="12">
        <v>-1</v>
      </c>
      <c r="CG81" s="12">
        <v>-1</v>
      </c>
      <c r="CH81" s="12">
        <v>-1</v>
      </c>
      <c r="CI81" s="12">
        <v>-1</v>
      </c>
      <c r="CJ81" s="47"/>
      <c r="CK81" s="48">
        <f>IF(BX81=5,320,IF(BX81=4,195,IF(BX81=3,132,IF(BX81=2,90,IF(BX81=1,58,IF(BX81=-1,0,35))))))</f>
        <v>0</v>
      </c>
      <c r="CL81" s="48">
        <f>IF(BX81=5,20,IF(BX81=4,15,IF(BX81=3,12,IF(BX81=2,10,IF(BX81=1,8,IF(BX81=-1,0,5))))))</f>
        <v>0</v>
      </c>
      <c r="CM81" s="48">
        <f>IF(BZ81=5,320,IF(BZ81=4,195,IF(BZ81=3,132,IF(BZ81=2,90,IF(BZ81=1,58,IF(BZ81=-1,0,35))))))</f>
        <v>0</v>
      </c>
      <c r="CN81" s="48">
        <f>IF(BZ81=5,20,IF(BZ81=4,15,IF(BZ81=3,12,IF(BZ81=2,10,IF(BZ81=1,8,IF(BZ81=-1,0,5))))))</f>
        <v>0</v>
      </c>
      <c r="CO81" s="48">
        <f>IF(CB81=5,320,IF(CB81=4,195,IF(CB81=3,132,IF(CB81=2,90,IF(CB81=1,58,IF(CB81=-1,0,35))))))</f>
        <v>0</v>
      </c>
      <c r="CP81" s="48">
        <f>IF(CB81=5,20,IF(CB81=4,15,IF(CB81=3,12,IF(CB81=2,10,IF(CB81=1,8,IF(CB81=-1,0,5))))))</f>
        <v>0</v>
      </c>
      <c r="CQ81" s="48">
        <f>IF(CD81=5,320,IF(CD81=4,195,IF(CD81=3,132,IF(CD81=2,90,IF(CD81=1,58,IF(CD81=-1,0,35))))))</f>
        <v>0</v>
      </c>
      <c r="CR81" s="48">
        <f>IF(CD81=5,20,IF(CD81=4,15,IF(CD81=3,12,IF(CD81=2,10,IF(CD81=1,8,IF(CD81=-1,0,5))))))</f>
        <v>0</v>
      </c>
      <c r="CS81" s="48">
        <f>IF(CF81=5,320,IF(CF81=4,195,IF(CF81=3,132,IF(CF81=2,90,IF(CF81=1,58,IF(CF81=-1,0,35))))))</f>
        <v>0</v>
      </c>
      <c r="CT81" s="48">
        <f>IF(CF81=5,20,IF(CF81=4,15,IF(CF81=3,12,IF(CF81=2,10,IF(CF81=1,8,IF(CF81=-1,0,5))))))</f>
        <v>0</v>
      </c>
      <c r="CU81" s="48">
        <f>IF(CH81=5,320,IF(CH81=4,195,IF(CH81=3,132,IF(CH81=2,90,IF(CH81=1,58,IF(CH81=-1,0,35))))))</f>
        <v>0</v>
      </c>
      <c r="CV81" s="48">
        <f>IF(CH81=5,20,IF(CH81=4,15,IF(CH81=3,12,IF(CH81=2,10,IF(CH81=1,8,IF(CH81=-1,0,5))))))</f>
        <v>0</v>
      </c>
      <c r="CW81" s="48">
        <f>IF(BY81&gt;10,(BY81/10)-ROUNDDOWN(BY81/10,0),0)+IF(CA81&gt;10,(CA81/10)-ROUNDDOWN(CA81/10,0),0)+IF(CC81&gt;10,(CC81/10)-ROUNDDOWN(CC81/10,0),0)+IF(CE81&gt;10,(CE81/10)-ROUNDDOWN(CE81/10,0),0)+IF(CG81&gt;10,(CG81/10)-ROUNDDOWN(CG81/10,0),0)+IF(CI81&gt;10,(CI81/10)-ROUNDDOWN(CI81/10,0),0)</f>
        <v>0</v>
      </c>
      <c r="CX81" s="48">
        <f>1+(CW81/10)</f>
        <v>1</v>
      </c>
    </row>
    <row r="82" ht="20.05" customHeight="1">
      <c r="A82" t="s" s="43">
        <v>361</v>
      </c>
      <c r="B82" s="49"/>
      <c r="C82" t="s" s="45">
        <v>279</v>
      </c>
      <c r="D82" s="13">
        <v>7</v>
      </c>
      <c r="E82" t="s" s="15">
        <v>232</v>
      </c>
      <c r="F82" t="s" s="15">
        <v>284</v>
      </c>
      <c r="G82" t="s" s="15">
        <v>282</v>
      </c>
      <c r="H82" s="12">
        <v>3</v>
      </c>
      <c r="I82" t="s" s="15">
        <v>277</v>
      </c>
      <c r="J82" s="12">
        <v>52</v>
      </c>
      <c r="K82" t="s" s="14">
        <v>236</v>
      </c>
      <c r="L82" t="s" s="15">
        <v>247</v>
      </c>
      <c r="M82" t="s" s="15">
        <v>248</v>
      </c>
      <c r="N82" s="46">
        <f>ROUND((SUM(AA82,T82:Y82,AC82:AE82,Z82*10)-AB82*15)*(IF(K82="Heavy",0.15,IF(K82="Medium",0,IF(K82="Light",-0.15,10)))+1),0)</f>
        <v>20</v>
      </c>
      <c r="O82" s="50"/>
      <c r="P82" s="46">
        <f>ROUNDDOWN((BI82+AU82+AG82)/5,0)+(BJ82+AV82+AH82)+(BN82+AZ82+AL82)+(BO82+BA82+AM82)+(BK82+AW82+AI82)+(BS82+BE82+AQ82)+(BL82+AX82+AJ82)+(BQ82+BC82+AO82)+(2*((BT82+BF82+AR82)+(BU82+BG82+AS82)))+(CK82+CM82+CO82+CQ82+CS82+CU82)+(CL82*BY82)+(CN82*CA82)+(CP82+CC82)+(CR82+CE82)+(CT82+CG82)+(CV82+CI82)+BV82</f>
        <v>49</v>
      </c>
      <c r="Q82" s="46">
        <f>ROUNDDOWN(((S82/5)+T82+X82+Y82+U82+AC82+V82+AA82+(2*(AD82+AE82))+CK82+CM82+CO82+CQ82+CS82+CU82+(CL82*BX82)+(CN82*BZ82)+(CP82*CB82)+(CR82*CD82)+(CT82*CF82)+(CV82*CH82))*CX82,0)</f>
        <v>53</v>
      </c>
      <c r="R82" s="46">
        <f>ROUNDDOWN(AVERAGE(P82:Q82),0)</f>
        <v>51</v>
      </c>
      <c r="S82" s="12">
        <f>AG82+AU82+BI82</f>
        <v>128</v>
      </c>
      <c r="T82" s="12">
        <f>AH82+AV82+BJ82</f>
        <v>11</v>
      </c>
      <c r="U82" s="12">
        <f>AI82+AW82+BK82</f>
        <v>3</v>
      </c>
      <c r="V82" s="12">
        <f>AJ82+AX82+BL82</f>
        <v>2</v>
      </c>
      <c r="W82" s="12">
        <f>AK82+AY82+BM82</f>
        <v>0</v>
      </c>
      <c r="X82" s="12">
        <f>AL82+AZ82+BN82</f>
        <v>1</v>
      </c>
      <c r="Y82" s="12">
        <f>AM82+BA82+BO82</f>
        <v>0</v>
      </c>
      <c r="Z82" s="12">
        <f>AN82+BB82+BP82</f>
        <v>0</v>
      </c>
      <c r="AA82" s="12">
        <f>AO82+BC82+BQ82</f>
        <v>0</v>
      </c>
      <c r="AB82" s="12">
        <f>AP82+BD82+BR82</f>
        <v>0</v>
      </c>
      <c r="AC82" s="12">
        <f>AQ82+BE82+BS82</f>
        <v>1</v>
      </c>
      <c r="AD82" s="12">
        <f>AR82+BF82+BT82</f>
        <v>5</v>
      </c>
      <c r="AE82" s="12">
        <f>AS82+BG82+BU82</f>
        <v>0</v>
      </c>
      <c r="AF82" s="28"/>
      <c r="AG82" s="28"/>
      <c r="AH82" s="28"/>
      <c r="AI82" s="28"/>
      <c r="AJ82" s="28"/>
      <c r="AK82" s="28"/>
      <c r="AL82" s="28"/>
      <c r="AM82" s="28"/>
      <c r="AN82" s="28"/>
      <c r="AO82" s="28"/>
      <c r="AP82" s="28"/>
      <c r="AQ82" s="28"/>
      <c r="AR82" s="28"/>
      <c r="AS82" s="28"/>
      <c r="AT82" s="28"/>
      <c r="AU82" s="12">
        <f>IF($H82=3,IF(OR($F82="DDV",$F82="DDG",$F82="DD"),'Fleet Tech - Tech'!B$3,IF($F82="CL",'Fleet Tech - Tech'!B$4,IF($F82="CA",'Fleet Tech - Tech'!B$5,IF($F82="BC",'Fleet Tech - Tech'!B$6,IF($F82="BB",'Fleet Tech - Tech'!B$7,IF($F82="CVL",'Fleet Tech - Tech'!B$8,IF($F82="CV",'Fleet Tech - Tech'!B$9,IF($F82="SS",'Fleet Tech - Tech'!B$10,IF($F82="BBV",'Fleet Tech - Tech'!B$11,IF($F82="CB",'Fleet Tech - Tech'!B$15,IF($F82="AE",'Fleet Tech - Tech'!B$16,IF($F82="IX",'Fleet Tech - Tech'!B$17,IF($F82="BM",'Fleet Tech - Tech'!B$13,IF($F82="AR",'Fleet Tech - Tech'!B$12,IF($F82="SSV",'Fleet Tech - Tech'!B$14,"nil"))))))))))))))),0)</f>
        <v>128</v>
      </c>
      <c r="AV82" s="12">
        <f>IF($H82=3,IF(OR($F82="DDV",$F82="DDG",$F82="DD"),'Fleet Tech - Tech'!C$3,IF($F82="CL",'Fleet Tech - Tech'!C$4,IF($F82="CA",'Fleet Tech - Tech'!C$5,IF($F82="BC",'Fleet Tech - Tech'!C$6,IF($F82="BB",'Fleet Tech - Tech'!C$7,IF($F82="CVL",'Fleet Tech - Tech'!C$8,IF($F82="CV",'Fleet Tech - Tech'!C$9,IF($F82="SS",'Fleet Tech - Tech'!C$10,IF($F82="BBV",'Fleet Tech - Tech'!C$11,IF($F82="CB",'Fleet Tech - Tech'!C$15,IF($F82="AE",'Fleet Tech - Tech'!C$16,IF($F82="IX",'Fleet Tech - Tech'!C$17,IF($F82="BM",'Fleet Tech - Tech'!C$13,IF($F82="AR",'Fleet Tech - Tech'!C$12,IF($F82="SSV",'Fleet Tech - Tech'!C$14,"nil"))))))))))))))),0)</f>
        <v>11</v>
      </c>
      <c r="AW82" s="12">
        <f>IF($H82=3,IF(OR($F82="DDV",$F82="DDG",$F82="DD"),'Fleet Tech - Tech'!D$3,IF($F82="CL",'Fleet Tech - Tech'!D$4,IF($F82="CA",'Fleet Tech - Tech'!D$5,IF($F82="BC",'Fleet Tech - Tech'!D$6,IF($F82="BB",'Fleet Tech - Tech'!D$7,IF($F82="CVL",'Fleet Tech - Tech'!D$8,IF($F82="CV",'Fleet Tech - Tech'!D$9,IF($F82="SS",'Fleet Tech - Tech'!D$10,IF($F82="BBV",'Fleet Tech - Tech'!D$11,IF($F82="CB",'Fleet Tech - Tech'!D$15,IF($F82="AE",'Fleet Tech - Tech'!D$16,IF($F82="IX",'Fleet Tech - Tech'!D$17,IF($F82="BM",'Fleet Tech - Tech'!D$13,IF($F82="AR",'Fleet Tech - Tech'!D$12,IF($F82="SSV",'Fleet Tech - Tech'!D$14,"nil"))))))))))))))),0)</f>
        <v>3</v>
      </c>
      <c r="AX82" s="12">
        <f>IF($H82=3,IF(OR($F82="DDV",$F82="DDG",$F82="DD"),'Fleet Tech - Tech'!E$3,IF($F82="CL",'Fleet Tech - Tech'!E$4,IF($F82="CA",'Fleet Tech - Tech'!E$5,IF($F82="BC",'Fleet Tech - Tech'!E$6,IF($F82="BB",'Fleet Tech - Tech'!E$7,IF($F82="CVL",'Fleet Tech - Tech'!E$8,IF($F82="CV",'Fleet Tech - Tech'!E$9,IF($F82="SS",'Fleet Tech - Tech'!E$10,IF($F82="BBV",'Fleet Tech - Tech'!E$11,IF($F82="CB",'Fleet Tech - Tech'!E$15,IF($F82="AE",'Fleet Tech - Tech'!E$16,IF($F82="IX",'Fleet Tech - Tech'!E$17,IF($F82="BM",'Fleet Tech - Tech'!E$13,IF($F82="AR",'Fleet Tech - Tech'!E$12,IF($F82="SSV",'Fleet Tech - Tech'!E$14,"nil"))))))))))))))),0)</f>
        <v>2</v>
      </c>
      <c r="AY82" s="12">
        <f>IF($H82=3,IF(OR($F82="DDV",$F82="DDG",$F82="DD"),'Fleet Tech - Tech'!F$3,IF($F82="CL",'Fleet Tech - Tech'!F$4,IF($F82="CA",'Fleet Tech - Tech'!F$5,IF($F82="BC",'Fleet Tech - Tech'!F$6,IF($F82="BB",'Fleet Tech - Tech'!F$7,IF($F82="CVL",'Fleet Tech - Tech'!F$8,IF($F82="CV",'Fleet Tech - Tech'!F$9,IF($F82="SS",'Fleet Tech - Tech'!F$10,IF($F82="BBV",'Fleet Tech - Tech'!F$11,IF($F82="CB",'Fleet Tech - Tech'!F$15,IF($F82="AE",'Fleet Tech - Tech'!F$16,IF($F82="IX",'Fleet Tech - Tech'!F$17,IF($F82="BM",'Fleet Tech - Tech'!F$13,IF($F82="AR",'Fleet Tech - Tech'!F$12,IF($F82="SSV",'Fleet Tech - Tech'!F$14,"nil"))))))))))))))),0)</f>
        <v>0</v>
      </c>
      <c r="AZ82" s="12">
        <f>IF($H82=3,IF(OR($F82="DDV",$F82="DDG",$F82="DD"),'Fleet Tech - Tech'!G$3,IF($F82="CL",'Fleet Tech - Tech'!G$4,IF($F82="CA",'Fleet Tech - Tech'!G$5,IF($F82="BC",'Fleet Tech - Tech'!G$6,IF($F82="BB",'Fleet Tech - Tech'!G$7,IF($F82="CVL",'Fleet Tech - Tech'!G$8,IF($F82="CV",'Fleet Tech - Tech'!G$9,IF($F82="SS",'Fleet Tech - Tech'!G$10,IF($F82="BBV",'Fleet Tech - Tech'!G$11,IF($F82="CB",'Fleet Tech - Tech'!G$15,IF($F82="AE",'Fleet Tech - Tech'!G$16,IF($F82="IX",'Fleet Tech - Tech'!G$17,IF($F82="BM",'Fleet Tech - Tech'!G$13,IF($F82="AR",'Fleet Tech - Tech'!G$12,IF($F82="SSV",'Fleet Tech - Tech'!G$14,"nil"))))))))))))))),0)</f>
        <v>1</v>
      </c>
      <c r="BA82" s="12">
        <f>IF($H82=3,IF(OR($F82="DDV",$F82="DDG",$F82="DD"),'Fleet Tech - Tech'!H$3,IF($F82="CL",'Fleet Tech - Tech'!H$4,IF($F82="CA",'Fleet Tech - Tech'!H$5,IF($F82="BC",'Fleet Tech - Tech'!H$6,IF($F82="BB",'Fleet Tech - Tech'!H$7,IF($F82="CVL",'Fleet Tech - Tech'!H$8,IF($F82="CV",'Fleet Tech - Tech'!H$9,IF($F82="SS",'Fleet Tech - Tech'!H$10,IF($F82="BBV",'Fleet Tech - Tech'!H$11,IF($F82="CB",'Fleet Tech - Tech'!H$15,IF($F82="AE",'Fleet Tech - Tech'!H$16,IF($F82="IX",'Fleet Tech - Tech'!H$17,IF($F82="BM",'Fleet Tech - Tech'!H$13,IF($F82="AR",'Fleet Tech - Tech'!H$12,IF($F82="SSV",'Fleet Tech - Tech'!H$14,"nil"))))))))))))))),0)</f>
        <v>0</v>
      </c>
      <c r="BB82" s="12">
        <f>IF($H82=3,IF(OR($F82="DDV",$F82="DDG",$F82="DD"),'Fleet Tech - Tech'!I$3,IF($F82="CL",'Fleet Tech - Tech'!I$4,IF($F82="CA",'Fleet Tech - Tech'!I$5,IF($F82="BC",'Fleet Tech - Tech'!I$6,IF($F82="BB",'Fleet Tech - Tech'!I$7,IF($F82="CVL",'Fleet Tech - Tech'!I$8,IF($F82="CV",'Fleet Tech - Tech'!I$9,IF($F82="SS",'Fleet Tech - Tech'!I$10,IF($F82="BBV",'Fleet Tech - Tech'!I$11,IF($F82="CB",'Fleet Tech - Tech'!I$15,IF($F82="AE",'Fleet Tech - Tech'!I$16,IF($F82="IX",'Fleet Tech - Tech'!I$17,IF($F82="BM",'Fleet Tech - Tech'!I$13,IF($F82="AR",'Fleet Tech - Tech'!I$12,IF($F82="SSV",'Fleet Tech - Tech'!I$14,"nil"))))))))))))))),0)</f>
        <v>0</v>
      </c>
      <c r="BC82" s="12">
        <f>IF($H82=3,IF(OR($F82="DDV",$F82="DDG",$F82="DD"),'Fleet Tech - Tech'!J$3,IF($F82="CL",'Fleet Tech - Tech'!J$4,IF($F82="CA",'Fleet Tech - Tech'!J$5,IF($F82="BC",'Fleet Tech - Tech'!J$6,IF($F82="BB",'Fleet Tech - Tech'!J$7,IF($F82="CVL",'Fleet Tech - Tech'!J$8,IF($F82="CV",'Fleet Tech - Tech'!J$9,IF($F82="SS",'Fleet Tech - Tech'!J$10,IF($F82="BBV",'Fleet Tech - Tech'!J$11,IF($F82="CB",'Fleet Tech - Tech'!J$15,IF($F82="AE",'Fleet Tech - Tech'!J$16,IF($F82="IX",'Fleet Tech - Tech'!J$17,IF($F82="BM",'Fleet Tech - Tech'!J$13,IF($F82="AR",'Fleet Tech - Tech'!J$12,IF($F82="SSV",'Fleet Tech - Tech'!J$14,"nil"))))))))))))))),0)</f>
        <v>0</v>
      </c>
      <c r="BD82" s="12">
        <f>IF($H82=3,IF(OR($F82="DDV",$F82="DDG",$F82="DD"),'Fleet Tech - Tech'!K$3,IF($F82="CL",'Fleet Tech - Tech'!K$4,IF($F82="CA",'Fleet Tech - Tech'!K$5,IF($F82="BC",'Fleet Tech - Tech'!K$6,IF($F82="BB",'Fleet Tech - Tech'!K$7,IF($F82="CVL",'Fleet Tech - Tech'!K$8,IF($F82="CV",'Fleet Tech - Tech'!K$9,IF($F82="SS",'Fleet Tech - Tech'!K$10,IF($F82="BBV",'Fleet Tech - Tech'!K$11,IF($F82="CB",'Fleet Tech - Tech'!K$15,IF($F82="AE",'Fleet Tech - Tech'!K$16,IF($F82="IX",'Fleet Tech - Tech'!K$17,IF($F82="BM",'Fleet Tech - Tech'!K$13,IF($F82="AR",'Fleet Tech - Tech'!K$12,IF($F82="SSV",'Fleet Tech - Tech'!K$14,"nil"))))))))))))))),0)</f>
        <v>0</v>
      </c>
      <c r="BE82" s="12">
        <f>IF($H82=3,IF(OR($F82="DDV",$F82="DDG",$F82="DD"),'Fleet Tech - Tech'!L$3,IF($F82="CL",'Fleet Tech - Tech'!L$4,IF($F82="CA",'Fleet Tech - Tech'!L$5,IF($F82="BC",'Fleet Tech - Tech'!L$6,IF($F82="BB",'Fleet Tech - Tech'!L$7,IF($F82="CVL",'Fleet Tech - Tech'!L$8,IF($F82="CV",'Fleet Tech - Tech'!L$9,IF($F82="SS",'Fleet Tech - Tech'!L$10,IF($F82="BBV",'Fleet Tech - Tech'!L$11,IF($F82="CB",'Fleet Tech - Tech'!L$15,IF($F82="AE",'Fleet Tech - Tech'!L$16,IF($F82="IX",'Fleet Tech - Tech'!L$17,IF($F82="BM",'Fleet Tech - Tech'!L$13,IF($F82="AR",'Fleet Tech - Tech'!L$12,IF($F82="SSV",'Fleet Tech - Tech'!L$14,"nil"))))))))))))))),0)</f>
        <v>1</v>
      </c>
      <c r="BF82" s="12">
        <f>IF($H82=3,IF(OR($F82="DDV",$F82="DDG",$F82="DD"),'Fleet Tech - Tech'!M$3,IF($F82="CL",'Fleet Tech - Tech'!M$4,IF($F82="CA",'Fleet Tech - Tech'!M$5,IF($F82="BC",'Fleet Tech - Tech'!M$6,IF($F82="BB",'Fleet Tech - Tech'!M$7,IF($F82="CVL",'Fleet Tech - Tech'!M$8,IF($F82="CV",'Fleet Tech - Tech'!M$9,IF($F82="SS",'Fleet Tech - Tech'!M$10,IF($F82="BBV",'Fleet Tech - Tech'!M$11,IF($F82="CB",'Fleet Tech - Tech'!M$15,IF($F82="AE",'Fleet Tech - Tech'!M$16,IF($F82="IX",'Fleet Tech - Tech'!M$17,IF($F82="BM",'Fleet Tech - Tech'!M$13,IF($F82="AR",'Fleet Tech - Tech'!M$12,IF($F82="SSV",'Fleet Tech - Tech'!M$14,"nil"))))))))))))))),0)</f>
        <v>5</v>
      </c>
      <c r="BG82" s="12">
        <f>IF($H82=3,IF(OR($F82="DDV",$F82="DDG",$F82="DD"),'Fleet Tech - Tech'!N$3,IF($F82="CL",'Fleet Tech - Tech'!N$4,IF($F82="CA",'Fleet Tech - Tech'!N$5,IF($F82="BC",'Fleet Tech - Tech'!N$6,IF($F82="BB",'Fleet Tech - Tech'!N$7,IF($F82="CVL",'Fleet Tech - Tech'!N$8,IF($F82="CV",'Fleet Tech - Tech'!N$9,IF($F82="SS",'Fleet Tech - Tech'!N$10,IF($F82="BBV",'Fleet Tech - Tech'!N$11,IF($F82="CB",'Fleet Tech - Tech'!N$15,IF($F82="AE",'Fleet Tech - Tech'!N$16,IF($F82="IX",'Fleet Tech - Tech'!N$17,IF($F82="BM",'Fleet Tech - Tech'!N$13,IF($F82="AR",'Fleet Tech - Tech'!N$12,IF($F82="SSV",'Fleet Tech - Tech'!N$14,"nil"))))))))))))))),0)</f>
        <v>0</v>
      </c>
      <c r="BH82" s="28"/>
      <c r="BI82" s="28"/>
      <c r="BJ82" s="28"/>
      <c r="BK82" s="28"/>
      <c r="BL82" s="28"/>
      <c r="BM82" s="28"/>
      <c r="BN82" s="28"/>
      <c r="BO82" s="28"/>
      <c r="BP82" s="28"/>
      <c r="BQ82" s="28"/>
      <c r="BR82" s="28"/>
      <c r="BS82" s="28"/>
      <c r="BT82" s="28"/>
      <c r="BU82" s="28"/>
      <c r="BV82" s="28"/>
      <c r="BW82" s="28"/>
      <c r="BX82" s="12">
        <v>-1</v>
      </c>
      <c r="BY82" s="12">
        <v>-1</v>
      </c>
      <c r="BZ82" s="12">
        <v>-1</v>
      </c>
      <c r="CA82" s="12">
        <v>-1</v>
      </c>
      <c r="CB82" s="12">
        <v>-1</v>
      </c>
      <c r="CC82" s="12">
        <v>-1</v>
      </c>
      <c r="CD82" s="12">
        <v>-1</v>
      </c>
      <c r="CE82" s="12">
        <v>-1</v>
      </c>
      <c r="CF82" s="12">
        <v>-1</v>
      </c>
      <c r="CG82" s="12">
        <v>-1</v>
      </c>
      <c r="CH82" s="12">
        <v>-1</v>
      </c>
      <c r="CI82" s="12">
        <v>-1</v>
      </c>
      <c r="CJ82" s="47"/>
      <c r="CK82" s="48">
        <f>IF(BX82=5,320,IF(BX82=4,195,IF(BX82=3,132,IF(BX82=2,90,IF(BX82=1,58,IF(BX82=-1,0,35))))))</f>
        <v>0</v>
      </c>
      <c r="CL82" s="48">
        <f>IF(BX82=5,20,IF(BX82=4,15,IF(BX82=3,12,IF(BX82=2,10,IF(BX82=1,8,IF(BX82=-1,0,5))))))</f>
        <v>0</v>
      </c>
      <c r="CM82" s="48">
        <f>IF(BZ82=5,320,IF(BZ82=4,195,IF(BZ82=3,132,IF(BZ82=2,90,IF(BZ82=1,58,IF(BZ82=-1,0,35))))))</f>
        <v>0</v>
      </c>
      <c r="CN82" s="48">
        <f>IF(BZ82=5,20,IF(BZ82=4,15,IF(BZ82=3,12,IF(BZ82=2,10,IF(BZ82=1,8,IF(BZ82=-1,0,5))))))</f>
        <v>0</v>
      </c>
      <c r="CO82" s="48">
        <f>IF(CB82=5,320,IF(CB82=4,195,IF(CB82=3,132,IF(CB82=2,90,IF(CB82=1,58,IF(CB82=-1,0,35))))))</f>
        <v>0</v>
      </c>
      <c r="CP82" s="48">
        <f>IF(CB82=5,20,IF(CB82=4,15,IF(CB82=3,12,IF(CB82=2,10,IF(CB82=1,8,IF(CB82=-1,0,5))))))</f>
        <v>0</v>
      </c>
      <c r="CQ82" s="48">
        <f>IF(CD82=5,320,IF(CD82=4,195,IF(CD82=3,132,IF(CD82=2,90,IF(CD82=1,58,IF(CD82=-1,0,35))))))</f>
        <v>0</v>
      </c>
      <c r="CR82" s="48">
        <f>IF(CD82=5,20,IF(CD82=4,15,IF(CD82=3,12,IF(CD82=2,10,IF(CD82=1,8,IF(CD82=-1,0,5))))))</f>
        <v>0</v>
      </c>
      <c r="CS82" s="48">
        <f>IF(CF82=5,320,IF(CF82=4,195,IF(CF82=3,132,IF(CF82=2,90,IF(CF82=1,58,IF(CF82=-1,0,35))))))</f>
        <v>0</v>
      </c>
      <c r="CT82" s="48">
        <f>IF(CF82=5,20,IF(CF82=4,15,IF(CF82=3,12,IF(CF82=2,10,IF(CF82=1,8,IF(CF82=-1,0,5))))))</f>
        <v>0</v>
      </c>
      <c r="CU82" s="48">
        <f>IF(CH82=5,320,IF(CH82=4,195,IF(CH82=3,132,IF(CH82=2,90,IF(CH82=1,58,IF(CH82=-1,0,35))))))</f>
        <v>0</v>
      </c>
      <c r="CV82" s="48">
        <f>IF(CH82=5,20,IF(CH82=4,15,IF(CH82=3,12,IF(CH82=2,10,IF(CH82=1,8,IF(CH82=-1,0,5))))))</f>
        <v>0</v>
      </c>
      <c r="CW82" s="48">
        <f>IF(BY82&gt;10,(BY82/10)-ROUNDDOWN(BY82/10,0),0)+IF(CA82&gt;10,(CA82/10)-ROUNDDOWN(CA82/10,0),0)+IF(CC82&gt;10,(CC82/10)-ROUNDDOWN(CC82/10,0),0)+IF(CE82&gt;10,(CE82/10)-ROUNDDOWN(CE82/10,0),0)+IF(CG82&gt;10,(CG82/10)-ROUNDDOWN(CG82/10,0),0)+IF(CI82&gt;10,(CI82/10)-ROUNDDOWN(CI82/10,0),0)</f>
        <v>0</v>
      </c>
      <c r="CX82" s="48">
        <f>1+(CW82/10)</f>
        <v>1</v>
      </c>
    </row>
    <row r="83" ht="20.05" customHeight="1">
      <c r="A83" t="s" s="43">
        <v>362</v>
      </c>
      <c r="B83" s="49"/>
      <c r="C83" t="s" s="45">
        <v>279</v>
      </c>
      <c r="D83" s="13">
        <v>7</v>
      </c>
      <c r="E83" t="s" s="15">
        <v>232</v>
      </c>
      <c r="F83" t="s" s="15">
        <v>284</v>
      </c>
      <c r="G83" t="s" s="15">
        <v>282</v>
      </c>
      <c r="H83" s="12">
        <v>2</v>
      </c>
      <c r="I83" t="s" s="15">
        <v>279</v>
      </c>
      <c r="J83" s="12">
        <v>51</v>
      </c>
      <c r="K83" t="s" s="14">
        <v>236</v>
      </c>
      <c r="L83" t="s" s="15">
        <v>265</v>
      </c>
      <c r="M83" t="s" s="15">
        <v>27</v>
      </c>
      <c r="N83" s="46">
        <f>ROUND((SUM(AA83,T83:Y83,AC83:AE83,Z83*10)-AB83*15)*(IF(K83="Heavy",0.15,IF(K83="Medium",0,IF(K83="Light",-0.15,10)))+1),0)</f>
        <v>0</v>
      </c>
      <c r="O83" s="50"/>
      <c r="P83" s="46">
        <f>ROUNDDOWN((BI83+AU83+AG83)/5,0)+(BJ83+AV83+AH83)+(BN83+AZ83+AL83)+(BO83+BA83+AM83)+(BK83+AW83+AI83)+(BS83+BE83+AQ83)+(BL83+AX83+AJ83)+(BQ83+BC83+AO83)+(2*((BT83+BF83+AR83)+(BU83+BG83+AS83)))+(CK83+CM83+CO83+CQ83+CS83+CU83)+(CL83*BY83)+(CN83*CA83)+(CP83+CC83)+(CR83+CE83)+(CT83+CG83)+(CV83+CI83)+BV83</f>
        <v>-4</v>
      </c>
      <c r="Q83" s="46">
        <f>ROUNDDOWN(((S83/5)+T83+X83+Y83+U83+AC83+V83+AA83+(2*(AD83+AE83))+CK83+CM83+CO83+CQ83+CS83+CU83+(CL83*BX83)+(CN83*BZ83)+(CP83*CB83)+(CR83*CD83)+(CT83*CF83)+(CV83*CH83))*CX83,0)</f>
        <v>0</v>
      </c>
      <c r="R83" s="46">
        <f>ROUNDDOWN(AVERAGE(P83:Q83),0)</f>
        <v>-2</v>
      </c>
      <c r="S83" s="12">
        <f>AG83+AU83+BI83</f>
        <v>0</v>
      </c>
      <c r="T83" s="12">
        <f>AH83+AV83+BJ83</f>
        <v>0</v>
      </c>
      <c r="U83" s="12">
        <f>AI83+AW83+BK83</f>
        <v>0</v>
      </c>
      <c r="V83" s="12">
        <f>AJ83+AX83+BL83</f>
        <v>0</v>
      </c>
      <c r="W83" s="12">
        <f>AK83+AY83+BM83</f>
        <v>0</v>
      </c>
      <c r="X83" s="12">
        <f>AL83+AZ83+BN83</f>
        <v>0</v>
      </c>
      <c r="Y83" s="12">
        <f>AM83+BA83+BO83</f>
        <v>0</v>
      </c>
      <c r="Z83" s="12">
        <f>AN83+BB83+BP83</f>
        <v>0</v>
      </c>
      <c r="AA83" s="12">
        <f>AO83+BC83+BQ83</f>
        <v>0</v>
      </c>
      <c r="AB83" s="12">
        <f>AP83+BD83+BR83</f>
        <v>0</v>
      </c>
      <c r="AC83" s="12">
        <f>AQ83+BE83+BS83</f>
        <v>0</v>
      </c>
      <c r="AD83" s="12">
        <f>AR83+BF83+BT83</f>
        <v>0</v>
      </c>
      <c r="AE83" s="12">
        <f>AS83+BG83+BU83</f>
        <v>0</v>
      </c>
      <c r="AF83" s="28"/>
      <c r="AG83" s="28"/>
      <c r="AH83" s="28"/>
      <c r="AI83" s="28"/>
      <c r="AJ83" s="28"/>
      <c r="AK83" s="28"/>
      <c r="AL83" s="28"/>
      <c r="AM83" s="28"/>
      <c r="AN83" s="28"/>
      <c r="AO83" s="28"/>
      <c r="AP83" s="28"/>
      <c r="AQ83" s="28"/>
      <c r="AR83" s="28"/>
      <c r="AS83" s="28"/>
      <c r="AT83" s="28"/>
      <c r="AU83" s="12">
        <f>IF($H83=3,IF(OR($F83="DDV",$F83="DDG",$F83="DD"),'Fleet Tech - Tech'!B$3,IF($F83="CL",'Fleet Tech - Tech'!B$4,IF($F83="CA",'Fleet Tech - Tech'!B$5,IF($F83="BC",'Fleet Tech - Tech'!B$6,IF($F83="BB",'Fleet Tech - Tech'!B$7,IF($F83="CVL",'Fleet Tech - Tech'!B$8,IF($F83="CV",'Fleet Tech - Tech'!B$9,IF($F83="SS",'Fleet Tech - Tech'!B$10,IF($F83="BBV",'Fleet Tech - Tech'!B$11,IF($F83="CB",'Fleet Tech - Tech'!B$15,IF($F83="AE",'Fleet Tech - Tech'!B$16,IF($F83="IX",'Fleet Tech - Tech'!B$17,IF($F83="BM",'Fleet Tech - Tech'!B$13,IF($F83="AR",'Fleet Tech - Tech'!B$12,IF($F83="SSV",'Fleet Tech - Tech'!B$14,"nil"))))))))))))))),0)</f>
        <v>0</v>
      </c>
      <c r="AV83" s="12">
        <f>IF($H83=3,IF(OR($F83="DDV",$F83="DDG",$F83="DD"),'Fleet Tech - Tech'!C$3,IF($F83="CL",'Fleet Tech - Tech'!C$4,IF($F83="CA",'Fleet Tech - Tech'!C$5,IF($F83="BC",'Fleet Tech - Tech'!C$6,IF($F83="BB",'Fleet Tech - Tech'!C$7,IF($F83="CVL",'Fleet Tech - Tech'!C$8,IF($F83="CV",'Fleet Tech - Tech'!C$9,IF($F83="SS",'Fleet Tech - Tech'!C$10,IF($F83="BBV",'Fleet Tech - Tech'!C$11,IF($F83="CB",'Fleet Tech - Tech'!C$15,IF($F83="AE",'Fleet Tech - Tech'!C$16,IF($F83="IX",'Fleet Tech - Tech'!C$17,IF($F83="BM",'Fleet Tech - Tech'!C$13,IF($F83="AR",'Fleet Tech - Tech'!C$12,IF($F83="SSV",'Fleet Tech - Tech'!C$14,"nil"))))))))))))))),0)</f>
        <v>0</v>
      </c>
      <c r="AW83" s="12">
        <f>IF($H83=3,IF(OR($F83="DDV",$F83="DDG",$F83="DD"),'Fleet Tech - Tech'!D$3,IF($F83="CL",'Fleet Tech - Tech'!D$4,IF($F83="CA",'Fleet Tech - Tech'!D$5,IF($F83="BC",'Fleet Tech - Tech'!D$6,IF($F83="BB",'Fleet Tech - Tech'!D$7,IF($F83="CVL",'Fleet Tech - Tech'!D$8,IF($F83="CV",'Fleet Tech - Tech'!D$9,IF($F83="SS",'Fleet Tech - Tech'!D$10,IF($F83="BBV",'Fleet Tech - Tech'!D$11,IF($F83="CB",'Fleet Tech - Tech'!D$15,IF($F83="AE",'Fleet Tech - Tech'!D$16,IF($F83="IX",'Fleet Tech - Tech'!D$17,IF($F83="BM",'Fleet Tech - Tech'!D$13,IF($F83="AR",'Fleet Tech - Tech'!D$12,IF($F83="SSV",'Fleet Tech - Tech'!D$14,"nil"))))))))))))))),0)</f>
        <v>0</v>
      </c>
      <c r="AX83" s="12">
        <f>IF($H83=3,IF(OR($F83="DDV",$F83="DDG",$F83="DD"),'Fleet Tech - Tech'!E$3,IF($F83="CL",'Fleet Tech - Tech'!E$4,IF($F83="CA",'Fleet Tech - Tech'!E$5,IF($F83="BC",'Fleet Tech - Tech'!E$6,IF($F83="BB",'Fleet Tech - Tech'!E$7,IF($F83="CVL",'Fleet Tech - Tech'!E$8,IF($F83="CV",'Fleet Tech - Tech'!E$9,IF($F83="SS",'Fleet Tech - Tech'!E$10,IF($F83="BBV",'Fleet Tech - Tech'!E$11,IF($F83="CB",'Fleet Tech - Tech'!E$15,IF($F83="AE",'Fleet Tech - Tech'!E$16,IF($F83="IX",'Fleet Tech - Tech'!E$17,IF($F83="BM",'Fleet Tech - Tech'!E$13,IF($F83="AR",'Fleet Tech - Tech'!E$12,IF($F83="SSV",'Fleet Tech - Tech'!E$14,"nil"))))))))))))))),0)</f>
        <v>0</v>
      </c>
      <c r="AY83" s="12">
        <f>IF($H83=3,IF(OR($F83="DDV",$F83="DDG",$F83="DD"),'Fleet Tech - Tech'!F$3,IF($F83="CL",'Fleet Tech - Tech'!F$4,IF($F83="CA",'Fleet Tech - Tech'!F$5,IF($F83="BC",'Fleet Tech - Tech'!F$6,IF($F83="BB",'Fleet Tech - Tech'!F$7,IF($F83="CVL",'Fleet Tech - Tech'!F$8,IF($F83="CV",'Fleet Tech - Tech'!F$9,IF($F83="SS",'Fleet Tech - Tech'!F$10,IF($F83="BBV",'Fleet Tech - Tech'!F$11,IF($F83="CB",'Fleet Tech - Tech'!F$15,IF($F83="AE",'Fleet Tech - Tech'!F$16,IF($F83="IX",'Fleet Tech - Tech'!F$17,IF($F83="BM",'Fleet Tech - Tech'!F$13,IF($F83="AR",'Fleet Tech - Tech'!F$12,IF($F83="SSV",'Fleet Tech - Tech'!F$14,"nil"))))))))))))))),0)</f>
        <v>0</v>
      </c>
      <c r="AZ83" s="12">
        <f>IF($H83=3,IF(OR($F83="DDV",$F83="DDG",$F83="DD"),'Fleet Tech - Tech'!G$3,IF($F83="CL",'Fleet Tech - Tech'!G$4,IF($F83="CA",'Fleet Tech - Tech'!G$5,IF($F83="BC",'Fleet Tech - Tech'!G$6,IF($F83="BB",'Fleet Tech - Tech'!G$7,IF($F83="CVL",'Fleet Tech - Tech'!G$8,IF($F83="CV",'Fleet Tech - Tech'!G$9,IF($F83="SS",'Fleet Tech - Tech'!G$10,IF($F83="BBV",'Fleet Tech - Tech'!G$11,IF($F83="CB",'Fleet Tech - Tech'!G$15,IF($F83="AE",'Fleet Tech - Tech'!G$16,IF($F83="IX",'Fleet Tech - Tech'!G$17,IF($F83="BM",'Fleet Tech - Tech'!G$13,IF($F83="AR",'Fleet Tech - Tech'!G$12,IF($F83="SSV",'Fleet Tech - Tech'!G$14,"nil"))))))))))))))),0)</f>
        <v>0</v>
      </c>
      <c r="BA83" s="12">
        <f>IF($H83=3,IF(OR($F83="DDV",$F83="DDG",$F83="DD"),'Fleet Tech - Tech'!H$3,IF($F83="CL",'Fleet Tech - Tech'!H$4,IF($F83="CA",'Fleet Tech - Tech'!H$5,IF($F83="BC",'Fleet Tech - Tech'!H$6,IF($F83="BB",'Fleet Tech - Tech'!H$7,IF($F83="CVL",'Fleet Tech - Tech'!H$8,IF($F83="CV",'Fleet Tech - Tech'!H$9,IF($F83="SS",'Fleet Tech - Tech'!H$10,IF($F83="BBV",'Fleet Tech - Tech'!H$11,IF($F83="CB",'Fleet Tech - Tech'!H$15,IF($F83="AE",'Fleet Tech - Tech'!H$16,IF($F83="IX",'Fleet Tech - Tech'!H$17,IF($F83="BM",'Fleet Tech - Tech'!H$13,IF($F83="AR",'Fleet Tech - Tech'!H$12,IF($F83="SSV",'Fleet Tech - Tech'!H$14,"nil"))))))))))))))),0)</f>
        <v>0</v>
      </c>
      <c r="BB83" s="12">
        <f>IF($H83=3,IF(OR($F83="DDV",$F83="DDG",$F83="DD"),'Fleet Tech - Tech'!I$3,IF($F83="CL",'Fleet Tech - Tech'!I$4,IF($F83="CA",'Fleet Tech - Tech'!I$5,IF($F83="BC",'Fleet Tech - Tech'!I$6,IF($F83="BB",'Fleet Tech - Tech'!I$7,IF($F83="CVL",'Fleet Tech - Tech'!I$8,IF($F83="CV",'Fleet Tech - Tech'!I$9,IF($F83="SS",'Fleet Tech - Tech'!I$10,IF($F83="BBV",'Fleet Tech - Tech'!I$11,IF($F83="CB",'Fleet Tech - Tech'!I$15,IF($F83="AE",'Fleet Tech - Tech'!I$16,IF($F83="IX",'Fleet Tech - Tech'!I$17,IF($F83="BM",'Fleet Tech - Tech'!I$13,IF($F83="AR",'Fleet Tech - Tech'!I$12,IF($F83="SSV",'Fleet Tech - Tech'!I$14,"nil"))))))))))))))),0)</f>
        <v>0</v>
      </c>
      <c r="BC83" s="12">
        <f>IF($H83=3,IF(OR($F83="DDV",$F83="DDG",$F83="DD"),'Fleet Tech - Tech'!J$3,IF($F83="CL",'Fleet Tech - Tech'!J$4,IF($F83="CA",'Fleet Tech - Tech'!J$5,IF($F83="BC",'Fleet Tech - Tech'!J$6,IF($F83="BB",'Fleet Tech - Tech'!J$7,IF($F83="CVL",'Fleet Tech - Tech'!J$8,IF($F83="CV",'Fleet Tech - Tech'!J$9,IF($F83="SS",'Fleet Tech - Tech'!J$10,IF($F83="BBV",'Fleet Tech - Tech'!J$11,IF($F83="CB",'Fleet Tech - Tech'!J$15,IF($F83="AE",'Fleet Tech - Tech'!J$16,IF($F83="IX",'Fleet Tech - Tech'!J$17,IF($F83="BM",'Fleet Tech - Tech'!J$13,IF($F83="AR",'Fleet Tech - Tech'!J$12,IF($F83="SSV",'Fleet Tech - Tech'!J$14,"nil"))))))))))))))),0)</f>
        <v>0</v>
      </c>
      <c r="BD83" s="12">
        <f>IF($H83=3,IF(OR($F83="DDV",$F83="DDG",$F83="DD"),'Fleet Tech - Tech'!K$3,IF($F83="CL",'Fleet Tech - Tech'!K$4,IF($F83="CA",'Fleet Tech - Tech'!K$5,IF($F83="BC",'Fleet Tech - Tech'!K$6,IF($F83="BB",'Fleet Tech - Tech'!K$7,IF($F83="CVL",'Fleet Tech - Tech'!K$8,IF($F83="CV",'Fleet Tech - Tech'!K$9,IF($F83="SS",'Fleet Tech - Tech'!K$10,IF($F83="BBV",'Fleet Tech - Tech'!K$11,IF($F83="CB",'Fleet Tech - Tech'!K$15,IF($F83="AE",'Fleet Tech - Tech'!K$16,IF($F83="IX",'Fleet Tech - Tech'!K$17,IF($F83="BM",'Fleet Tech - Tech'!K$13,IF($F83="AR",'Fleet Tech - Tech'!K$12,IF($F83="SSV",'Fleet Tech - Tech'!K$14,"nil"))))))))))))))),0)</f>
        <v>0</v>
      </c>
      <c r="BE83" s="12">
        <f>IF($H83=3,IF(OR($F83="DDV",$F83="DDG",$F83="DD"),'Fleet Tech - Tech'!L$3,IF($F83="CL",'Fleet Tech - Tech'!L$4,IF($F83="CA",'Fleet Tech - Tech'!L$5,IF($F83="BC",'Fleet Tech - Tech'!L$6,IF($F83="BB",'Fleet Tech - Tech'!L$7,IF($F83="CVL",'Fleet Tech - Tech'!L$8,IF($F83="CV",'Fleet Tech - Tech'!L$9,IF($F83="SS",'Fleet Tech - Tech'!L$10,IF($F83="BBV",'Fleet Tech - Tech'!L$11,IF($F83="CB",'Fleet Tech - Tech'!L$15,IF($F83="AE",'Fleet Tech - Tech'!L$16,IF($F83="IX",'Fleet Tech - Tech'!L$17,IF($F83="BM",'Fleet Tech - Tech'!L$13,IF($F83="AR",'Fleet Tech - Tech'!L$12,IF($F83="SSV",'Fleet Tech - Tech'!L$14,"nil"))))))))))))))),0)</f>
        <v>0</v>
      </c>
      <c r="BF83" s="12">
        <f>IF($H83=3,IF(OR($F83="DDV",$F83="DDG",$F83="DD"),'Fleet Tech - Tech'!M$3,IF($F83="CL",'Fleet Tech - Tech'!M$4,IF($F83="CA",'Fleet Tech - Tech'!M$5,IF($F83="BC",'Fleet Tech - Tech'!M$6,IF($F83="BB",'Fleet Tech - Tech'!M$7,IF($F83="CVL",'Fleet Tech - Tech'!M$8,IF($F83="CV",'Fleet Tech - Tech'!M$9,IF($F83="SS",'Fleet Tech - Tech'!M$10,IF($F83="BBV",'Fleet Tech - Tech'!M$11,IF($F83="CB",'Fleet Tech - Tech'!M$15,IF($F83="AE",'Fleet Tech - Tech'!M$16,IF($F83="IX",'Fleet Tech - Tech'!M$17,IF($F83="BM",'Fleet Tech - Tech'!M$13,IF($F83="AR",'Fleet Tech - Tech'!M$12,IF($F83="SSV",'Fleet Tech - Tech'!M$14,"nil"))))))))))))))),0)</f>
        <v>0</v>
      </c>
      <c r="BG83" s="12">
        <f>IF($H83=3,IF(OR($F83="DDV",$F83="DDG",$F83="DD"),'Fleet Tech - Tech'!N$3,IF($F83="CL",'Fleet Tech - Tech'!N$4,IF($F83="CA",'Fleet Tech - Tech'!N$5,IF($F83="BC",'Fleet Tech - Tech'!N$6,IF($F83="BB",'Fleet Tech - Tech'!N$7,IF($F83="CVL",'Fleet Tech - Tech'!N$8,IF($F83="CV",'Fleet Tech - Tech'!N$9,IF($F83="SS",'Fleet Tech - Tech'!N$10,IF($F83="BBV",'Fleet Tech - Tech'!N$11,IF($F83="CB",'Fleet Tech - Tech'!N$15,IF($F83="AE",'Fleet Tech - Tech'!N$16,IF($F83="IX",'Fleet Tech - Tech'!N$17,IF($F83="BM",'Fleet Tech - Tech'!N$13,IF($F83="AR",'Fleet Tech - Tech'!N$12,IF($F83="SSV",'Fleet Tech - Tech'!N$14,"nil"))))))))))))))),0)</f>
        <v>0</v>
      </c>
      <c r="BH83" s="28"/>
      <c r="BI83" s="28"/>
      <c r="BJ83" s="28"/>
      <c r="BK83" s="28"/>
      <c r="BL83" s="28"/>
      <c r="BM83" s="28"/>
      <c r="BN83" s="28"/>
      <c r="BO83" s="28"/>
      <c r="BP83" s="28"/>
      <c r="BQ83" s="28"/>
      <c r="BR83" s="28"/>
      <c r="BS83" s="28"/>
      <c r="BT83" s="28"/>
      <c r="BU83" s="28"/>
      <c r="BV83" s="28"/>
      <c r="BW83" s="28"/>
      <c r="BX83" s="12">
        <v>-1</v>
      </c>
      <c r="BY83" s="12">
        <v>-1</v>
      </c>
      <c r="BZ83" s="12">
        <v>-1</v>
      </c>
      <c r="CA83" s="12">
        <v>-1</v>
      </c>
      <c r="CB83" s="12">
        <v>-1</v>
      </c>
      <c r="CC83" s="12">
        <v>-1</v>
      </c>
      <c r="CD83" s="12">
        <v>-1</v>
      </c>
      <c r="CE83" s="12">
        <v>-1</v>
      </c>
      <c r="CF83" s="12">
        <v>-1</v>
      </c>
      <c r="CG83" s="12">
        <v>-1</v>
      </c>
      <c r="CH83" s="12">
        <v>-1</v>
      </c>
      <c r="CI83" s="12">
        <v>-1</v>
      </c>
      <c r="CJ83" s="47"/>
      <c r="CK83" s="48">
        <f>IF(BX83=5,320,IF(BX83=4,195,IF(BX83=3,132,IF(BX83=2,90,IF(BX83=1,58,IF(BX83=-1,0,35))))))</f>
        <v>0</v>
      </c>
      <c r="CL83" s="48">
        <f>IF(BX83=5,20,IF(BX83=4,15,IF(BX83=3,12,IF(BX83=2,10,IF(BX83=1,8,IF(BX83=-1,0,5))))))</f>
        <v>0</v>
      </c>
      <c r="CM83" s="48">
        <f>IF(BZ83=5,320,IF(BZ83=4,195,IF(BZ83=3,132,IF(BZ83=2,90,IF(BZ83=1,58,IF(BZ83=-1,0,35))))))</f>
        <v>0</v>
      </c>
      <c r="CN83" s="48">
        <f>IF(BZ83=5,20,IF(BZ83=4,15,IF(BZ83=3,12,IF(BZ83=2,10,IF(BZ83=1,8,IF(BZ83=-1,0,5))))))</f>
        <v>0</v>
      </c>
      <c r="CO83" s="48">
        <f>IF(CB83=5,320,IF(CB83=4,195,IF(CB83=3,132,IF(CB83=2,90,IF(CB83=1,58,IF(CB83=-1,0,35))))))</f>
        <v>0</v>
      </c>
      <c r="CP83" s="48">
        <f>IF(CB83=5,20,IF(CB83=4,15,IF(CB83=3,12,IF(CB83=2,10,IF(CB83=1,8,IF(CB83=-1,0,5))))))</f>
        <v>0</v>
      </c>
      <c r="CQ83" s="48">
        <f>IF(CD83=5,320,IF(CD83=4,195,IF(CD83=3,132,IF(CD83=2,90,IF(CD83=1,58,IF(CD83=-1,0,35))))))</f>
        <v>0</v>
      </c>
      <c r="CR83" s="48">
        <f>IF(CD83=5,20,IF(CD83=4,15,IF(CD83=3,12,IF(CD83=2,10,IF(CD83=1,8,IF(CD83=-1,0,5))))))</f>
        <v>0</v>
      </c>
      <c r="CS83" s="48">
        <f>IF(CF83=5,320,IF(CF83=4,195,IF(CF83=3,132,IF(CF83=2,90,IF(CF83=1,58,IF(CF83=-1,0,35))))))</f>
        <v>0</v>
      </c>
      <c r="CT83" s="48">
        <f>IF(CF83=5,20,IF(CF83=4,15,IF(CF83=3,12,IF(CF83=2,10,IF(CF83=1,8,IF(CF83=-1,0,5))))))</f>
        <v>0</v>
      </c>
      <c r="CU83" s="48">
        <f>IF(CH83=5,320,IF(CH83=4,195,IF(CH83=3,132,IF(CH83=2,90,IF(CH83=1,58,IF(CH83=-1,0,35))))))</f>
        <v>0</v>
      </c>
      <c r="CV83" s="48">
        <f>IF(CH83=5,20,IF(CH83=4,15,IF(CH83=3,12,IF(CH83=2,10,IF(CH83=1,8,IF(CH83=-1,0,5))))))</f>
        <v>0</v>
      </c>
      <c r="CW83" s="48">
        <f>IF(BY83&gt;10,(BY83/10)-ROUNDDOWN(BY83/10,0),0)+IF(CA83&gt;10,(CA83/10)-ROUNDDOWN(CA83/10,0),0)+IF(CC83&gt;10,(CC83/10)-ROUNDDOWN(CC83/10,0),0)+IF(CE83&gt;10,(CE83/10)-ROUNDDOWN(CE83/10,0),0)+IF(CG83&gt;10,(CG83/10)-ROUNDDOWN(CG83/10,0),0)+IF(CI83&gt;10,(CI83/10)-ROUNDDOWN(CI83/10,0),0)</f>
        <v>0</v>
      </c>
      <c r="CX83" s="48">
        <f>1+(CW83/10)</f>
        <v>1</v>
      </c>
    </row>
    <row r="84" ht="20.05" customHeight="1">
      <c r="A84" t="s" s="43">
        <v>363</v>
      </c>
      <c r="B84" s="49"/>
      <c r="C84" t="s" s="45">
        <v>279</v>
      </c>
      <c r="D84" s="13">
        <v>7</v>
      </c>
      <c r="E84" t="s" s="15">
        <v>258</v>
      </c>
      <c r="F84" t="s" s="15">
        <v>268</v>
      </c>
      <c r="G84" t="s" s="15">
        <v>314</v>
      </c>
      <c r="H84" s="12">
        <v>0</v>
      </c>
      <c r="I84" t="s" s="15">
        <v>235</v>
      </c>
      <c r="J84" s="12">
        <v>51</v>
      </c>
      <c r="K84" t="s" s="14">
        <v>236</v>
      </c>
      <c r="L84" t="s" s="15">
        <v>237</v>
      </c>
      <c r="M84" t="s" s="15">
        <v>25</v>
      </c>
      <c r="N84" s="46">
        <f>ROUND((SUM(AA84,T84:Y84,AC84:AE84,Z84*10)-AB84*15)*(IF(K84="Heavy",0.15,IF(K84="Medium",0,IF(K84="Light",-0.15,10)))+1),0)</f>
        <v>0</v>
      </c>
      <c r="O84" s="50"/>
      <c r="P84" s="46">
        <f>ROUNDDOWN((BI84+AU84+AG84)/5,0)+(BJ84+AV84+AH84)+(BN84+AZ84+AL84)+(BO84+BA84+AM84)+(BK84+AW84+AI84)+(BS84+BE84+AQ84)+(BL84+AX84+AJ84)+(BQ84+BC84+AO84)+(2*((BT84+BF84+AR84)+(BU84+BG84+AS84)))+(CK84+CM84+CO84+CQ84+CS84+CU84)+(CL84*BY84)+(CN84*CA84)+(CP84+CC84)+(CR84+CE84)+(CT84+CG84)+(CV84+CI84)+BV84</f>
        <v>-4</v>
      </c>
      <c r="Q84" s="46">
        <f>ROUNDDOWN(((S84/5)+T84+X84+Y84+U84+AC84+V84+AA84+(2*(AD84+AE84))+CK84+CM84+CO84+CQ84+CS84+CU84+(CL84*BX84)+(CN84*BZ84)+(CP84*CB84)+(CR84*CD84)+(CT84*CF84)+(CV84*CH84))*CX84,0)</f>
        <v>0</v>
      </c>
      <c r="R84" s="46">
        <f>ROUNDDOWN(AVERAGE(P84:Q84),0)</f>
        <v>-2</v>
      </c>
      <c r="S84" s="12">
        <f>AG84+AU84+BI84</f>
        <v>0</v>
      </c>
      <c r="T84" s="12">
        <f>AH84+AV84+BJ84</f>
        <v>0</v>
      </c>
      <c r="U84" s="12">
        <f>AI84+AW84+BK84</f>
        <v>0</v>
      </c>
      <c r="V84" s="12">
        <f>AJ84+AX84+BL84</f>
        <v>0</v>
      </c>
      <c r="W84" s="12">
        <f>AK84+AY84+BM84</f>
        <v>0</v>
      </c>
      <c r="X84" s="12">
        <f>AL84+AZ84+BN84</f>
        <v>0</v>
      </c>
      <c r="Y84" s="12">
        <f>AM84+BA84+BO84</f>
        <v>0</v>
      </c>
      <c r="Z84" s="12">
        <f>AN84+BB84+BP84</f>
        <v>0</v>
      </c>
      <c r="AA84" s="12">
        <f>AO84+BC84+BQ84</f>
        <v>0</v>
      </c>
      <c r="AB84" s="12">
        <f>AP84+BD84+BR84</f>
        <v>0</v>
      </c>
      <c r="AC84" s="12">
        <f>AQ84+BE84+BS84</f>
        <v>0</v>
      </c>
      <c r="AD84" s="12">
        <f>AR84+BF84+BT84</f>
        <v>0</v>
      </c>
      <c r="AE84" s="12">
        <f>AS84+BG84+BU84</f>
        <v>0</v>
      </c>
      <c r="AF84" s="28"/>
      <c r="AG84" s="28"/>
      <c r="AH84" s="28"/>
      <c r="AI84" s="28"/>
      <c r="AJ84" s="28"/>
      <c r="AK84" s="28"/>
      <c r="AL84" s="28"/>
      <c r="AM84" s="28"/>
      <c r="AN84" s="28"/>
      <c r="AO84" s="28"/>
      <c r="AP84" s="28"/>
      <c r="AQ84" s="28"/>
      <c r="AR84" s="28"/>
      <c r="AS84" s="28"/>
      <c r="AT84" s="28"/>
      <c r="AU84" s="12">
        <f>IF($H84=3,IF(OR($F84="DDV",$F84="DDG",$F84="DD"),'Fleet Tech - Tech'!B$3,IF($F84="CL",'Fleet Tech - Tech'!B$4,IF($F84="CA",'Fleet Tech - Tech'!B$5,IF($F84="BC",'Fleet Tech - Tech'!B$6,IF($F84="BB",'Fleet Tech - Tech'!B$7,IF($F84="CVL",'Fleet Tech - Tech'!B$8,IF($F84="CV",'Fleet Tech - Tech'!B$9,IF($F84="SS",'Fleet Tech - Tech'!B$10,IF($F84="BBV",'Fleet Tech - Tech'!B$11,IF($F84="CB",'Fleet Tech - Tech'!B$15,IF($F84="AE",'Fleet Tech - Tech'!B$16,IF($F84="IX",'Fleet Tech - Tech'!B$17,IF($F84="BM",'Fleet Tech - Tech'!B$13,IF($F84="AR",'Fleet Tech - Tech'!B$12,IF($F84="SSV",'Fleet Tech - Tech'!B$14,"nil"))))))))))))))),0)</f>
        <v>0</v>
      </c>
      <c r="AV84" s="12">
        <f>IF($H84=3,IF(OR($F84="DDV",$F84="DDG",$F84="DD"),'Fleet Tech - Tech'!C$3,IF($F84="CL",'Fleet Tech - Tech'!C$4,IF($F84="CA",'Fleet Tech - Tech'!C$5,IF($F84="BC",'Fleet Tech - Tech'!C$6,IF($F84="BB",'Fleet Tech - Tech'!C$7,IF($F84="CVL",'Fleet Tech - Tech'!C$8,IF($F84="CV",'Fleet Tech - Tech'!C$9,IF($F84="SS",'Fleet Tech - Tech'!C$10,IF($F84="BBV",'Fleet Tech - Tech'!C$11,IF($F84="CB",'Fleet Tech - Tech'!C$15,IF($F84="AE",'Fleet Tech - Tech'!C$16,IF($F84="IX",'Fleet Tech - Tech'!C$17,IF($F84="BM",'Fleet Tech - Tech'!C$13,IF($F84="AR",'Fleet Tech - Tech'!C$12,IF($F84="SSV",'Fleet Tech - Tech'!C$14,"nil"))))))))))))))),0)</f>
        <v>0</v>
      </c>
      <c r="AW84" s="12">
        <f>IF($H84=3,IF(OR($F84="DDV",$F84="DDG",$F84="DD"),'Fleet Tech - Tech'!D$3,IF($F84="CL",'Fleet Tech - Tech'!D$4,IF($F84="CA",'Fleet Tech - Tech'!D$5,IF($F84="BC",'Fleet Tech - Tech'!D$6,IF($F84="BB",'Fleet Tech - Tech'!D$7,IF($F84="CVL",'Fleet Tech - Tech'!D$8,IF($F84="CV",'Fleet Tech - Tech'!D$9,IF($F84="SS",'Fleet Tech - Tech'!D$10,IF($F84="BBV",'Fleet Tech - Tech'!D$11,IF($F84="CB",'Fleet Tech - Tech'!D$15,IF($F84="AE",'Fleet Tech - Tech'!D$16,IF($F84="IX",'Fleet Tech - Tech'!D$17,IF($F84="BM",'Fleet Tech - Tech'!D$13,IF($F84="AR",'Fleet Tech - Tech'!D$12,IF($F84="SSV",'Fleet Tech - Tech'!D$14,"nil"))))))))))))))),0)</f>
        <v>0</v>
      </c>
      <c r="AX84" s="12">
        <f>IF($H84=3,IF(OR($F84="DDV",$F84="DDG",$F84="DD"),'Fleet Tech - Tech'!E$3,IF($F84="CL",'Fleet Tech - Tech'!E$4,IF($F84="CA",'Fleet Tech - Tech'!E$5,IF($F84="BC",'Fleet Tech - Tech'!E$6,IF($F84="BB",'Fleet Tech - Tech'!E$7,IF($F84="CVL",'Fleet Tech - Tech'!E$8,IF($F84="CV",'Fleet Tech - Tech'!E$9,IF($F84="SS",'Fleet Tech - Tech'!E$10,IF($F84="BBV",'Fleet Tech - Tech'!E$11,IF($F84="CB",'Fleet Tech - Tech'!E$15,IF($F84="AE",'Fleet Tech - Tech'!E$16,IF($F84="IX",'Fleet Tech - Tech'!E$17,IF($F84="BM",'Fleet Tech - Tech'!E$13,IF($F84="AR",'Fleet Tech - Tech'!E$12,IF($F84="SSV",'Fleet Tech - Tech'!E$14,"nil"))))))))))))))),0)</f>
        <v>0</v>
      </c>
      <c r="AY84" s="12">
        <f>IF($H84=3,IF(OR($F84="DDV",$F84="DDG",$F84="DD"),'Fleet Tech - Tech'!F$3,IF($F84="CL",'Fleet Tech - Tech'!F$4,IF($F84="CA",'Fleet Tech - Tech'!F$5,IF($F84="BC",'Fleet Tech - Tech'!F$6,IF($F84="BB",'Fleet Tech - Tech'!F$7,IF($F84="CVL",'Fleet Tech - Tech'!F$8,IF($F84="CV",'Fleet Tech - Tech'!F$9,IF($F84="SS",'Fleet Tech - Tech'!F$10,IF($F84="BBV",'Fleet Tech - Tech'!F$11,IF($F84="CB",'Fleet Tech - Tech'!F$15,IF($F84="AE",'Fleet Tech - Tech'!F$16,IF($F84="IX",'Fleet Tech - Tech'!F$17,IF($F84="BM",'Fleet Tech - Tech'!F$13,IF($F84="AR",'Fleet Tech - Tech'!F$12,IF($F84="SSV",'Fleet Tech - Tech'!F$14,"nil"))))))))))))))),0)</f>
        <v>0</v>
      </c>
      <c r="AZ84" s="12">
        <f>IF($H84=3,IF(OR($F84="DDV",$F84="DDG",$F84="DD"),'Fleet Tech - Tech'!G$3,IF($F84="CL",'Fleet Tech - Tech'!G$4,IF($F84="CA",'Fleet Tech - Tech'!G$5,IF($F84="BC",'Fleet Tech - Tech'!G$6,IF($F84="BB",'Fleet Tech - Tech'!G$7,IF($F84="CVL",'Fleet Tech - Tech'!G$8,IF($F84="CV",'Fleet Tech - Tech'!G$9,IF($F84="SS",'Fleet Tech - Tech'!G$10,IF($F84="BBV",'Fleet Tech - Tech'!G$11,IF($F84="CB",'Fleet Tech - Tech'!G$15,IF($F84="AE",'Fleet Tech - Tech'!G$16,IF($F84="IX",'Fleet Tech - Tech'!G$17,IF($F84="BM",'Fleet Tech - Tech'!G$13,IF($F84="AR",'Fleet Tech - Tech'!G$12,IF($F84="SSV",'Fleet Tech - Tech'!G$14,"nil"))))))))))))))),0)</f>
        <v>0</v>
      </c>
      <c r="BA84" s="12">
        <f>IF($H84=3,IF(OR($F84="DDV",$F84="DDG",$F84="DD"),'Fleet Tech - Tech'!H$3,IF($F84="CL",'Fleet Tech - Tech'!H$4,IF($F84="CA",'Fleet Tech - Tech'!H$5,IF($F84="BC",'Fleet Tech - Tech'!H$6,IF($F84="BB",'Fleet Tech - Tech'!H$7,IF($F84="CVL",'Fleet Tech - Tech'!H$8,IF($F84="CV",'Fleet Tech - Tech'!H$9,IF($F84="SS",'Fleet Tech - Tech'!H$10,IF($F84="BBV",'Fleet Tech - Tech'!H$11,IF($F84="CB",'Fleet Tech - Tech'!H$15,IF($F84="AE",'Fleet Tech - Tech'!H$16,IF($F84="IX",'Fleet Tech - Tech'!H$17,IF($F84="BM",'Fleet Tech - Tech'!H$13,IF($F84="AR",'Fleet Tech - Tech'!H$12,IF($F84="SSV",'Fleet Tech - Tech'!H$14,"nil"))))))))))))))),0)</f>
        <v>0</v>
      </c>
      <c r="BB84" s="12">
        <f>IF($H84=3,IF(OR($F84="DDV",$F84="DDG",$F84="DD"),'Fleet Tech - Tech'!I$3,IF($F84="CL",'Fleet Tech - Tech'!I$4,IF($F84="CA",'Fleet Tech - Tech'!I$5,IF($F84="BC",'Fleet Tech - Tech'!I$6,IF($F84="BB",'Fleet Tech - Tech'!I$7,IF($F84="CVL",'Fleet Tech - Tech'!I$8,IF($F84="CV",'Fleet Tech - Tech'!I$9,IF($F84="SS",'Fleet Tech - Tech'!I$10,IF($F84="BBV",'Fleet Tech - Tech'!I$11,IF($F84="CB",'Fleet Tech - Tech'!I$15,IF($F84="AE",'Fleet Tech - Tech'!I$16,IF($F84="IX",'Fleet Tech - Tech'!I$17,IF($F84="BM",'Fleet Tech - Tech'!I$13,IF($F84="AR",'Fleet Tech - Tech'!I$12,IF($F84="SSV",'Fleet Tech - Tech'!I$14,"nil"))))))))))))))),0)</f>
        <v>0</v>
      </c>
      <c r="BC84" s="12">
        <f>IF($H84=3,IF(OR($F84="DDV",$F84="DDG",$F84="DD"),'Fleet Tech - Tech'!J$3,IF($F84="CL",'Fleet Tech - Tech'!J$4,IF($F84="CA",'Fleet Tech - Tech'!J$5,IF($F84="BC",'Fleet Tech - Tech'!J$6,IF($F84="BB",'Fleet Tech - Tech'!J$7,IF($F84="CVL",'Fleet Tech - Tech'!J$8,IF($F84="CV",'Fleet Tech - Tech'!J$9,IF($F84="SS",'Fleet Tech - Tech'!J$10,IF($F84="BBV",'Fleet Tech - Tech'!J$11,IF($F84="CB",'Fleet Tech - Tech'!J$15,IF($F84="AE",'Fleet Tech - Tech'!J$16,IF($F84="IX",'Fleet Tech - Tech'!J$17,IF($F84="BM",'Fleet Tech - Tech'!J$13,IF($F84="AR",'Fleet Tech - Tech'!J$12,IF($F84="SSV",'Fleet Tech - Tech'!J$14,"nil"))))))))))))))),0)</f>
        <v>0</v>
      </c>
      <c r="BD84" s="12">
        <f>IF($H84=3,IF(OR($F84="DDV",$F84="DDG",$F84="DD"),'Fleet Tech - Tech'!K$3,IF($F84="CL",'Fleet Tech - Tech'!K$4,IF($F84="CA",'Fleet Tech - Tech'!K$5,IF($F84="BC",'Fleet Tech - Tech'!K$6,IF($F84="BB",'Fleet Tech - Tech'!K$7,IF($F84="CVL",'Fleet Tech - Tech'!K$8,IF($F84="CV",'Fleet Tech - Tech'!K$9,IF($F84="SS",'Fleet Tech - Tech'!K$10,IF($F84="BBV",'Fleet Tech - Tech'!K$11,IF($F84="CB",'Fleet Tech - Tech'!K$15,IF($F84="AE",'Fleet Tech - Tech'!K$16,IF($F84="IX",'Fleet Tech - Tech'!K$17,IF($F84="BM",'Fleet Tech - Tech'!K$13,IF($F84="AR",'Fleet Tech - Tech'!K$12,IF($F84="SSV",'Fleet Tech - Tech'!K$14,"nil"))))))))))))))),0)</f>
        <v>0</v>
      </c>
      <c r="BE84" s="12">
        <f>IF($H84=3,IF(OR($F84="DDV",$F84="DDG",$F84="DD"),'Fleet Tech - Tech'!L$3,IF($F84="CL",'Fleet Tech - Tech'!L$4,IF($F84="CA",'Fleet Tech - Tech'!L$5,IF($F84="BC",'Fleet Tech - Tech'!L$6,IF($F84="BB",'Fleet Tech - Tech'!L$7,IF($F84="CVL",'Fleet Tech - Tech'!L$8,IF($F84="CV",'Fleet Tech - Tech'!L$9,IF($F84="SS",'Fleet Tech - Tech'!L$10,IF($F84="BBV",'Fleet Tech - Tech'!L$11,IF($F84="CB",'Fleet Tech - Tech'!L$15,IF($F84="AE",'Fleet Tech - Tech'!L$16,IF($F84="IX",'Fleet Tech - Tech'!L$17,IF($F84="BM",'Fleet Tech - Tech'!L$13,IF($F84="AR",'Fleet Tech - Tech'!L$12,IF($F84="SSV",'Fleet Tech - Tech'!L$14,"nil"))))))))))))))),0)</f>
        <v>0</v>
      </c>
      <c r="BF84" s="12">
        <f>IF($H84=3,IF(OR($F84="DDV",$F84="DDG",$F84="DD"),'Fleet Tech - Tech'!M$3,IF($F84="CL",'Fleet Tech - Tech'!M$4,IF($F84="CA",'Fleet Tech - Tech'!M$5,IF($F84="BC",'Fleet Tech - Tech'!M$6,IF($F84="BB",'Fleet Tech - Tech'!M$7,IF($F84="CVL",'Fleet Tech - Tech'!M$8,IF($F84="CV",'Fleet Tech - Tech'!M$9,IF($F84="SS",'Fleet Tech - Tech'!M$10,IF($F84="BBV",'Fleet Tech - Tech'!M$11,IF($F84="CB",'Fleet Tech - Tech'!M$15,IF($F84="AE",'Fleet Tech - Tech'!M$16,IF($F84="IX",'Fleet Tech - Tech'!M$17,IF($F84="BM",'Fleet Tech - Tech'!M$13,IF($F84="AR",'Fleet Tech - Tech'!M$12,IF($F84="SSV",'Fleet Tech - Tech'!M$14,"nil"))))))))))))))),0)</f>
        <v>0</v>
      </c>
      <c r="BG84" s="12">
        <f>IF($H84=3,IF(OR($F84="DDV",$F84="DDG",$F84="DD"),'Fleet Tech - Tech'!N$3,IF($F84="CL",'Fleet Tech - Tech'!N$4,IF($F84="CA",'Fleet Tech - Tech'!N$5,IF($F84="BC",'Fleet Tech - Tech'!N$6,IF($F84="BB",'Fleet Tech - Tech'!N$7,IF($F84="CVL",'Fleet Tech - Tech'!N$8,IF($F84="CV",'Fleet Tech - Tech'!N$9,IF($F84="SS",'Fleet Tech - Tech'!N$10,IF($F84="BBV",'Fleet Tech - Tech'!N$11,IF($F84="CB",'Fleet Tech - Tech'!N$15,IF($F84="AE",'Fleet Tech - Tech'!N$16,IF($F84="IX",'Fleet Tech - Tech'!N$17,IF($F84="BM",'Fleet Tech - Tech'!N$13,IF($F84="AR",'Fleet Tech - Tech'!N$12,IF($F84="SSV",'Fleet Tech - Tech'!N$14,"nil"))))))))))))))),0)</f>
        <v>0</v>
      </c>
      <c r="BH84" s="28"/>
      <c r="BI84" s="28"/>
      <c r="BJ84" s="28"/>
      <c r="BK84" s="28"/>
      <c r="BL84" s="28"/>
      <c r="BM84" s="28"/>
      <c r="BN84" s="28"/>
      <c r="BO84" s="28"/>
      <c r="BP84" s="28"/>
      <c r="BQ84" s="28"/>
      <c r="BR84" s="28"/>
      <c r="BS84" s="28"/>
      <c r="BT84" s="28"/>
      <c r="BU84" s="28"/>
      <c r="BV84" s="28"/>
      <c r="BW84" s="28"/>
      <c r="BX84" s="12">
        <v>-1</v>
      </c>
      <c r="BY84" s="12">
        <v>-1</v>
      </c>
      <c r="BZ84" s="12">
        <v>-1</v>
      </c>
      <c r="CA84" s="12">
        <v>-1</v>
      </c>
      <c r="CB84" s="12">
        <v>-1</v>
      </c>
      <c r="CC84" s="12">
        <v>-1</v>
      </c>
      <c r="CD84" s="12">
        <v>-1</v>
      </c>
      <c r="CE84" s="12">
        <v>-1</v>
      </c>
      <c r="CF84" s="12">
        <v>-1</v>
      </c>
      <c r="CG84" s="12">
        <v>-1</v>
      </c>
      <c r="CH84" s="12">
        <v>-1</v>
      </c>
      <c r="CI84" s="12">
        <v>-1</v>
      </c>
      <c r="CJ84" s="47"/>
      <c r="CK84" s="48">
        <f>IF(BX84=5,320,IF(BX84=4,195,IF(BX84=3,132,IF(BX84=2,90,IF(BX84=1,58,IF(BX84=-1,0,35))))))</f>
        <v>0</v>
      </c>
      <c r="CL84" s="48">
        <f>IF(BX84=5,20,IF(BX84=4,15,IF(BX84=3,12,IF(BX84=2,10,IF(BX84=1,8,IF(BX84=-1,0,5))))))</f>
        <v>0</v>
      </c>
      <c r="CM84" s="48">
        <f>IF(BZ84=5,320,IF(BZ84=4,195,IF(BZ84=3,132,IF(BZ84=2,90,IF(BZ84=1,58,IF(BZ84=-1,0,35))))))</f>
        <v>0</v>
      </c>
      <c r="CN84" s="48">
        <f>IF(BZ84=5,20,IF(BZ84=4,15,IF(BZ84=3,12,IF(BZ84=2,10,IF(BZ84=1,8,IF(BZ84=-1,0,5))))))</f>
        <v>0</v>
      </c>
      <c r="CO84" s="48">
        <f>IF(CB84=5,320,IF(CB84=4,195,IF(CB84=3,132,IF(CB84=2,90,IF(CB84=1,58,IF(CB84=-1,0,35))))))</f>
        <v>0</v>
      </c>
      <c r="CP84" s="48">
        <f>IF(CB84=5,20,IF(CB84=4,15,IF(CB84=3,12,IF(CB84=2,10,IF(CB84=1,8,IF(CB84=-1,0,5))))))</f>
        <v>0</v>
      </c>
      <c r="CQ84" s="48">
        <f>IF(CD84=5,320,IF(CD84=4,195,IF(CD84=3,132,IF(CD84=2,90,IF(CD84=1,58,IF(CD84=-1,0,35))))))</f>
        <v>0</v>
      </c>
      <c r="CR84" s="48">
        <f>IF(CD84=5,20,IF(CD84=4,15,IF(CD84=3,12,IF(CD84=2,10,IF(CD84=1,8,IF(CD84=-1,0,5))))))</f>
        <v>0</v>
      </c>
      <c r="CS84" s="48">
        <f>IF(CF84=5,320,IF(CF84=4,195,IF(CF84=3,132,IF(CF84=2,90,IF(CF84=1,58,IF(CF84=-1,0,35))))))</f>
        <v>0</v>
      </c>
      <c r="CT84" s="48">
        <f>IF(CF84=5,20,IF(CF84=4,15,IF(CF84=3,12,IF(CF84=2,10,IF(CF84=1,8,IF(CF84=-1,0,5))))))</f>
        <v>0</v>
      </c>
      <c r="CU84" s="48">
        <f>IF(CH84=5,320,IF(CH84=4,195,IF(CH84=3,132,IF(CH84=2,90,IF(CH84=1,58,IF(CH84=-1,0,35))))))</f>
        <v>0</v>
      </c>
      <c r="CV84" s="48">
        <f>IF(CH84=5,20,IF(CH84=4,15,IF(CH84=3,12,IF(CH84=2,10,IF(CH84=1,8,IF(CH84=-1,0,5))))))</f>
        <v>0</v>
      </c>
      <c r="CW84" s="48">
        <f>IF(BY84&gt;10,(BY84/10)-ROUNDDOWN(BY84/10,0),0)+IF(CA84&gt;10,(CA84/10)-ROUNDDOWN(CA84/10,0),0)+IF(CC84&gt;10,(CC84/10)-ROUNDDOWN(CC84/10,0),0)+IF(CE84&gt;10,(CE84/10)-ROUNDDOWN(CE84/10,0),0)+IF(CG84&gt;10,(CG84/10)-ROUNDDOWN(CG84/10,0),0)+IF(CI84&gt;10,(CI84/10)-ROUNDDOWN(CI84/10,0),0)</f>
        <v>0</v>
      </c>
      <c r="CX84" s="48">
        <f>1+(CW84/10)</f>
        <v>1</v>
      </c>
    </row>
    <row r="85" ht="20.05" customHeight="1">
      <c r="A85" t="s" s="43">
        <v>364</v>
      </c>
      <c r="B85" s="49"/>
      <c r="C85" t="s" s="45">
        <v>279</v>
      </c>
      <c r="D85" s="13">
        <v>7</v>
      </c>
      <c r="E85" t="s" s="15">
        <v>258</v>
      </c>
      <c r="F85" t="s" s="15">
        <v>268</v>
      </c>
      <c r="G85" t="s" s="15">
        <v>314</v>
      </c>
      <c r="H85" s="12">
        <v>0</v>
      </c>
      <c r="I85" t="s" s="15">
        <v>235</v>
      </c>
      <c r="J85" s="12">
        <v>50</v>
      </c>
      <c r="K85" t="s" s="14">
        <v>236</v>
      </c>
      <c r="L85" t="s" s="15">
        <v>237</v>
      </c>
      <c r="M85" t="s" s="15">
        <v>25</v>
      </c>
      <c r="N85" s="46">
        <f>ROUND((SUM(AA85,T85:Y85,AC85:AE85,Z85*10)-AB85*15)*(IF(K85="Heavy",0.15,IF(K85="Medium",0,IF(K85="Light",-0.15,10)))+1),0)</f>
        <v>0</v>
      </c>
      <c r="O85" s="50"/>
      <c r="P85" s="46">
        <f>ROUNDDOWN((BI85+AU85+AG85)/5,0)+(BJ85+AV85+AH85)+(BN85+AZ85+AL85)+(BO85+BA85+AM85)+(BK85+AW85+AI85)+(BS85+BE85+AQ85)+(BL85+AX85+AJ85)+(BQ85+BC85+AO85)+(2*((BT85+BF85+AR85)+(BU85+BG85+AS85)))+(CK85+CM85+CO85+CQ85+CS85+CU85)+(CL85*BY85)+(CN85*CA85)+(CP85+CC85)+(CR85+CE85)+(CT85+CG85)+(CV85+CI85)+BV85</f>
        <v>-4</v>
      </c>
      <c r="Q85" s="46">
        <f>ROUNDDOWN(((S85/5)+T85+X85+Y85+U85+AC85+V85+AA85+(2*(AD85+AE85))+CK85+CM85+CO85+CQ85+CS85+CU85+(CL85*BX85)+(CN85*BZ85)+(CP85*CB85)+(CR85*CD85)+(CT85*CF85)+(CV85*CH85))*CX85,0)</f>
        <v>0</v>
      </c>
      <c r="R85" s="46">
        <f>ROUNDDOWN(AVERAGE(P85:Q85),0)</f>
        <v>-2</v>
      </c>
      <c r="S85" s="12">
        <f>AG85+AU85+BI85</f>
        <v>0</v>
      </c>
      <c r="T85" s="12">
        <f>AH85+AV85+BJ85</f>
        <v>0</v>
      </c>
      <c r="U85" s="12">
        <f>AI85+AW85+BK85</f>
        <v>0</v>
      </c>
      <c r="V85" s="12">
        <f>AJ85+AX85+BL85</f>
        <v>0</v>
      </c>
      <c r="W85" s="12">
        <f>AK85+AY85+BM85</f>
        <v>0</v>
      </c>
      <c r="X85" s="12">
        <f>AL85+AZ85+BN85</f>
        <v>0</v>
      </c>
      <c r="Y85" s="12">
        <f>AM85+BA85+BO85</f>
        <v>0</v>
      </c>
      <c r="Z85" s="12">
        <f>AN85+BB85+BP85</f>
        <v>0</v>
      </c>
      <c r="AA85" s="12">
        <f>AO85+BC85+BQ85</f>
        <v>0</v>
      </c>
      <c r="AB85" s="12">
        <f>AP85+BD85+BR85</f>
        <v>0</v>
      </c>
      <c r="AC85" s="12">
        <f>AQ85+BE85+BS85</f>
        <v>0</v>
      </c>
      <c r="AD85" s="12">
        <f>AR85+BF85+BT85</f>
        <v>0</v>
      </c>
      <c r="AE85" s="12">
        <f>AS85+BG85+BU85</f>
        <v>0</v>
      </c>
      <c r="AF85" s="28"/>
      <c r="AG85" s="28"/>
      <c r="AH85" s="28"/>
      <c r="AI85" s="28"/>
      <c r="AJ85" s="28"/>
      <c r="AK85" s="28"/>
      <c r="AL85" s="28"/>
      <c r="AM85" s="28"/>
      <c r="AN85" s="28"/>
      <c r="AO85" s="28"/>
      <c r="AP85" s="28"/>
      <c r="AQ85" s="28"/>
      <c r="AR85" s="28"/>
      <c r="AS85" s="28"/>
      <c r="AT85" s="28"/>
      <c r="AU85" s="12">
        <f>IF($H85=3,IF(OR($F85="DDV",$F85="DDG",$F85="DD"),'Fleet Tech - Tech'!B$3,IF($F85="CL",'Fleet Tech - Tech'!B$4,IF($F85="CA",'Fleet Tech - Tech'!B$5,IF($F85="BC",'Fleet Tech - Tech'!B$6,IF($F85="BB",'Fleet Tech - Tech'!B$7,IF($F85="CVL",'Fleet Tech - Tech'!B$8,IF($F85="CV",'Fleet Tech - Tech'!B$9,IF($F85="SS",'Fleet Tech - Tech'!B$10,IF($F85="BBV",'Fleet Tech - Tech'!B$11,IF($F85="CB",'Fleet Tech - Tech'!B$15,IF($F85="AE",'Fleet Tech - Tech'!B$16,IF($F85="IX",'Fleet Tech - Tech'!B$17,IF($F85="BM",'Fleet Tech - Tech'!B$13,IF($F85="AR",'Fleet Tech - Tech'!B$12,IF($F85="SSV",'Fleet Tech - Tech'!B$14,"nil"))))))))))))))),0)</f>
        <v>0</v>
      </c>
      <c r="AV85" s="12">
        <f>IF($H85=3,IF(OR($F85="DDV",$F85="DDG",$F85="DD"),'Fleet Tech - Tech'!C$3,IF($F85="CL",'Fleet Tech - Tech'!C$4,IF($F85="CA",'Fleet Tech - Tech'!C$5,IF($F85="BC",'Fleet Tech - Tech'!C$6,IF($F85="BB",'Fleet Tech - Tech'!C$7,IF($F85="CVL",'Fleet Tech - Tech'!C$8,IF($F85="CV",'Fleet Tech - Tech'!C$9,IF($F85="SS",'Fleet Tech - Tech'!C$10,IF($F85="BBV",'Fleet Tech - Tech'!C$11,IF($F85="CB",'Fleet Tech - Tech'!C$15,IF($F85="AE",'Fleet Tech - Tech'!C$16,IF($F85="IX",'Fleet Tech - Tech'!C$17,IF($F85="BM",'Fleet Tech - Tech'!C$13,IF($F85="AR",'Fleet Tech - Tech'!C$12,IF($F85="SSV",'Fleet Tech - Tech'!C$14,"nil"))))))))))))))),0)</f>
        <v>0</v>
      </c>
      <c r="AW85" s="12">
        <f>IF($H85=3,IF(OR($F85="DDV",$F85="DDG",$F85="DD"),'Fleet Tech - Tech'!D$3,IF($F85="CL",'Fleet Tech - Tech'!D$4,IF($F85="CA",'Fleet Tech - Tech'!D$5,IF($F85="BC",'Fleet Tech - Tech'!D$6,IF($F85="BB",'Fleet Tech - Tech'!D$7,IF($F85="CVL",'Fleet Tech - Tech'!D$8,IF($F85="CV",'Fleet Tech - Tech'!D$9,IF($F85="SS",'Fleet Tech - Tech'!D$10,IF($F85="BBV",'Fleet Tech - Tech'!D$11,IF($F85="CB",'Fleet Tech - Tech'!D$15,IF($F85="AE",'Fleet Tech - Tech'!D$16,IF($F85="IX",'Fleet Tech - Tech'!D$17,IF($F85="BM",'Fleet Tech - Tech'!D$13,IF($F85="AR",'Fleet Tech - Tech'!D$12,IF($F85="SSV",'Fleet Tech - Tech'!D$14,"nil"))))))))))))))),0)</f>
        <v>0</v>
      </c>
      <c r="AX85" s="12">
        <f>IF($H85=3,IF(OR($F85="DDV",$F85="DDG",$F85="DD"),'Fleet Tech - Tech'!E$3,IF($F85="CL",'Fleet Tech - Tech'!E$4,IF($F85="CA",'Fleet Tech - Tech'!E$5,IF($F85="BC",'Fleet Tech - Tech'!E$6,IF($F85="BB",'Fleet Tech - Tech'!E$7,IF($F85="CVL",'Fleet Tech - Tech'!E$8,IF($F85="CV",'Fleet Tech - Tech'!E$9,IF($F85="SS",'Fleet Tech - Tech'!E$10,IF($F85="BBV",'Fleet Tech - Tech'!E$11,IF($F85="CB",'Fleet Tech - Tech'!E$15,IF($F85="AE",'Fleet Tech - Tech'!E$16,IF($F85="IX",'Fleet Tech - Tech'!E$17,IF($F85="BM",'Fleet Tech - Tech'!E$13,IF($F85="AR",'Fleet Tech - Tech'!E$12,IF($F85="SSV",'Fleet Tech - Tech'!E$14,"nil"))))))))))))))),0)</f>
        <v>0</v>
      </c>
      <c r="AY85" s="12">
        <f>IF($H85=3,IF(OR($F85="DDV",$F85="DDG",$F85="DD"),'Fleet Tech - Tech'!F$3,IF($F85="CL",'Fleet Tech - Tech'!F$4,IF($F85="CA",'Fleet Tech - Tech'!F$5,IF($F85="BC",'Fleet Tech - Tech'!F$6,IF($F85="BB",'Fleet Tech - Tech'!F$7,IF($F85="CVL",'Fleet Tech - Tech'!F$8,IF($F85="CV",'Fleet Tech - Tech'!F$9,IF($F85="SS",'Fleet Tech - Tech'!F$10,IF($F85="BBV",'Fleet Tech - Tech'!F$11,IF($F85="CB",'Fleet Tech - Tech'!F$15,IF($F85="AE",'Fleet Tech - Tech'!F$16,IF($F85="IX",'Fleet Tech - Tech'!F$17,IF($F85="BM",'Fleet Tech - Tech'!F$13,IF($F85="AR",'Fleet Tech - Tech'!F$12,IF($F85="SSV",'Fleet Tech - Tech'!F$14,"nil"))))))))))))))),0)</f>
        <v>0</v>
      </c>
      <c r="AZ85" s="12">
        <f>IF($H85=3,IF(OR($F85="DDV",$F85="DDG",$F85="DD"),'Fleet Tech - Tech'!G$3,IF($F85="CL",'Fleet Tech - Tech'!G$4,IF($F85="CA",'Fleet Tech - Tech'!G$5,IF($F85="BC",'Fleet Tech - Tech'!G$6,IF($F85="BB",'Fleet Tech - Tech'!G$7,IF($F85="CVL",'Fleet Tech - Tech'!G$8,IF($F85="CV",'Fleet Tech - Tech'!G$9,IF($F85="SS",'Fleet Tech - Tech'!G$10,IF($F85="BBV",'Fleet Tech - Tech'!G$11,IF($F85="CB",'Fleet Tech - Tech'!G$15,IF($F85="AE",'Fleet Tech - Tech'!G$16,IF($F85="IX",'Fleet Tech - Tech'!G$17,IF($F85="BM",'Fleet Tech - Tech'!G$13,IF($F85="AR",'Fleet Tech - Tech'!G$12,IF($F85="SSV",'Fleet Tech - Tech'!G$14,"nil"))))))))))))))),0)</f>
        <v>0</v>
      </c>
      <c r="BA85" s="12">
        <f>IF($H85=3,IF(OR($F85="DDV",$F85="DDG",$F85="DD"),'Fleet Tech - Tech'!H$3,IF($F85="CL",'Fleet Tech - Tech'!H$4,IF($F85="CA",'Fleet Tech - Tech'!H$5,IF($F85="BC",'Fleet Tech - Tech'!H$6,IF($F85="BB",'Fleet Tech - Tech'!H$7,IF($F85="CVL",'Fleet Tech - Tech'!H$8,IF($F85="CV",'Fleet Tech - Tech'!H$9,IF($F85="SS",'Fleet Tech - Tech'!H$10,IF($F85="BBV",'Fleet Tech - Tech'!H$11,IF($F85="CB",'Fleet Tech - Tech'!H$15,IF($F85="AE",'Fleet Tech - Tech'!H$16,IF($F85="IX",'Fleet Tech - Tech'!H$17,IF($F85="BM",'Fleet Tech - Tech'!H$13,IF($F85="AR",'Fleet Tech - Tech'!H$12,IF($F85="SSV",'Fleet Tech - Tech'!H$14,"nil"))))))))))))))),0)</f>
        <v>0</v>
      </c>
      <c r="BB85" s="12">
        <f>IF($H85=3,IF(OR($F85="DDV",$F85="DDG",$F85="DD"),'Fleet Tech - Tech'!I$3,IF($F85="CL",'Fleet Tech - Tech'!I$4,IF($F85="CA",'Fleet Tech - Tech'!I$5,IF($F85="BC",'Fleet Tech - Tech'!I$6,IF($F85="BB",'Fleet Tech - Tech'!I$7,IF($F85="CVL",'Fleet Tech - Tech'!I$8,IF($F85="CV",'Fleet Tech - Tech'!I$9,IF($F85="SS",'Fleet Tech - Tech'!I$10,IF($F85="BBV",'Fleet Tech - Tech'!I$11,IF($F85="CB",'Fleet Tech - Tech'!I$15,IF($F85="AE",'Fleet Tech - Tech'!I$16,IF($F85="IX",'Fleet Tech - Tech'!I$17,IF($F85="BM",'Fleet Tech - Tech'!I$13,IF($F85="AR",'Fleet Tech - Tech'!I$12,IF($F85="SSV",'Fleet Tech - Tech'!I$14,"nil"))))))))))))))),0)</f>
        <v>0</v>
      </c>
      <c r="BC85" s="12">
        <f>IF($H85=3,IF(OR($F85="DDV",$F85="DDG",$F85="DD"),'Fleet Tech - Tech'!J$3,IF($F85="CL",'Fleet Tech - Tech'!J$4,IF($F85="CA",'Fleet Tech - Tech'!J$5,IF($F85="BC",'Fleet Tech - Tech'!J$6,IF($F85="BB",'Fleet Tech - Tech'!J$7,IF($F85="CVL",'Fleet Tech - Tech'!J$8,IF($F85="CV",'Fleet Tech - Tech'!J$9,IF($F85="SS",'Fleet Tech - Tech'!J$10,IF($F85="BBV",'Fleet Tech - Tech'!J$11,IF($F85="CB",'Fleet Tech - Tech'!J$15,IF($F85="AE",'Fleet Tech - Tech'!J$16,IF($F85="IX",'Fleet Tech - Tech'!J$17,IF($F85="BM",'Fleet Tech - Tech'!J$13,IF($F85="AR",'Fleet Tech - Tech'!J$12,IF($F85="SSV",'Fleet Tech - Tech'!J$14,"nil"))))))))))))))),0)</f>
        <v>0</v>
      </c>
      <c r="BD85" s="12">
        <f>IF($H85=3,IF(OR($F85="DDV",$F85="DDG",$F85="DD"),'Fleet Tech - Tech'!K$3,IF($F85="CL",'Fleet Tech - Tech'!K$4,IF($F85="CA",'Fleet Tech - Tech'!K$5,IF($F85="BC",'Fleet Tech - Tech'!K$6,IF($F85="BB",'Fleet Tech - Tech'!K$7,IF($F85="CVL",'Fleet Tech - Tech'!K$8,IF($F85="CV",'Fleet Tech - Tech'!K$9,IF($F85="SS",'Fleet Tech - Tech'!K$10,IF($F85="BBV",'Fleet Tech - Tech'!K$11,IF($F85="CB",'Fleet Tech - Tech'!K$15,IF($F85="AE",'Fleet Tech - Tech'!K$16,IF($F85="IX",'Fleet Tech - Tech'!K$17,IF($F85="BM",'Fleet Tech - Tech'!K$13,IF($F85="AR",'Fleet Tech - Tech'!K$12,IF($F85="SSV",'Fleet Tech - Tech'!K$14,"nil"))))))))))))))),0)</f>
        <v>0</v>
      </c>
      <c r="BE85" s="12">
        <f>IF($H85=3,IF(OR($F85="DDV",$F85="DDG",$F85="DD"),'Fleet Tech - Tech'!L$3,IF($F85="CL",'Fleet Tech - Tech'!L$4,IF($F85="CA",'Fleet Tech - Tech'!L$5,IF($F85="BC",'Fleet Tech - Tech'!L$6,IF($F85="BB",'Fleet Tech - Tech'!L$7,IF($F85="CVL",'Fleet Tech - Tech'!L$8,IF($F85="CV",'Fleet Tech - Tech'!L$9,IF($F85="SS",'Fleet Tech - Tech'!L$10,IF($F85="BBV",'Fleet Tech - Tech'!L$11,IF($F85="CB",'Fleet Tech - Tech'!L$15,IF($F85="AE",'Fleet Tech - Tech'!L$16,IF($F85="IX",'Fleet Tech - Tech'!L$17,IF($F85="BM",'Fleet Tech - Tech'!L$13,IF($F85="AR",'Fleet Tech - Tech'!L$12,IF($F85="SSV",'Fleet Tech - Tech'!L$14,"nil"))))))))))))))),0)</f>
        <v>0</v>
      </c>
      <c r="BF85" s="12">
        <f>IF($H85=3,IF(OR($F85="DDV",$F85="DDG",$F85="DD"),'Fleet Tech - Tech'!M$3,IF($F85="CL",'Fleet Tech - Tech'!M$4,IF($F85="CA",'Fleet Tech - Tech'!M$5,IF($F85="BC",'Fleet Tech - Tech'!M$6,IF($F85="BB",'Fleet Tech - Tech'!M$7,IF($F85="CVL",'Fleet Tech - Tech'!M$8,IF($F85="CV",'Fleet Tech - Tech'!M$9,IF($F85="SS",'Fleet Tech - Tech'!M$10,IF($F85="BBV",'Fleet Tech - Tech'!M$11,IF($F85="CB",'Fleet Tech - Tech'!M$15,IF($F85="AE",'Fleet Tech - Tech'!M$16,IF($F85="IX",'Fleet Tech - Tech'!M$17,IF($F85="BM",'Fleet Tech - Tech'!M$13,IF($F85="AR",'Fleet Tech - Tech'!M$12,IF($F85="SSV",'Fleet Tech - Tech'!M$14,"nil"))))))))))))))),0)</f>
        <v>0</v>
      </c>
      <c r="BG85" s="12">
        <f>IF($H85=3,IF(OR($F85="DDV",$F85="DDG",$F85="DD"),'Fleet Tech - Tech'!N$3,IF($F85="CL",'Fleet Tech - Tech'!N$4,IF($F85="CA",'Fleet Tech - Tech'!N$5,IF($F85="BC",'Fleet Tech - Tech'!N$6,IF($F85="BB",'Fleet Tech - Tech'!N$7,IF($F85="CVL",'Fleet Tech - Tech'!N$8,IF($F85="CV",'Fleet Tech - Tech'!N$9,IF($F85="SS",'Fleet Tech - Tech'!N$10,IF($F85="BBV",'Fleet Tech - Tech'!N$11,IF($F85="CB",'Fleet Tech - Tech'!N$15,IF($F85="AE",'Fleet Tech - Tech'!N$16,IF($F85="IX",'Fleet Tech - Tech'!N$17,IF($F85="BM",'Fleet Tech - Tech'!N$13,IF($F85="AR",'Fleet Tech - Tech'!N$12,IF($F85="SSV",'Fleet Tech - Tech'!N$14,"nil"))))))))))))))),0)</f>
        <v>0</v>
      </c>
      <c r="BH85" s="28"/>
      <c r="BI85" s="28"/>
      <c r="BJ85" s="28"/>
      <c r="BK85" s="28"/>
      <c r="BL85" s="28"/>
      <c r="BM85" s="28"/>
      <c r="BN85" s="28"/>
      <c r="BO85" s="28"/>
      <c r="BP85" s="28"/>
      <c r="BQ85" s="28"/>
      <c r="BR85" s="28"/>
      <c r="BS85" s="28"/>
      <c r="BT85" s="28"/>
      <c r="BU85" s="28"/>
      <c r="BV85" s="28"/>
      <c r="BW85" s="28"/>
      <c r="BX85" s="12">
        <v>-1</v>
      </c>
      <c r="BY85" s="12">
        <v>-1</v>
      </c>
      <c r="BZ85" s="12">
        <v>-1</v>
      </c>
      <c r="CA85" s="12">
        <v>-1</v>
      </c>
      <c r="CB85" s="12">
        <v>-1</v>
      </c>
      <c r="CC85" s="12">
        <v>-1</v>
      </c>
      <c r="CD85" s="12">
        <v>-1</v>
      </c>
      <c r="CE85" s="12">
        <v>-1</v>
      </c>
      <c r="CF85" s="12">
        <v>-1</v>
      </c>
      <c r="CG85" s="12">
        <v>-1</v>
      </c>
      <c r="CH85" s="12">
        <v>-1</v>
      </c>
      <c r="CI85" s="12">
        <v>-1</v>
      </c>
      <c r="CJ85" s="47"/>
      <c r="CK85" s="48">
        <f>IF(BX85=5,320,IF(BX85=4,195,IF(BX85=3,132,IF(BX85=2,90,IF(BX85=1,58,IF(BX85=-1,0,35))))))</f>
        <v>0</v>
      </c>
      <c r="CL85" s="48">
        <f>IF(BX85=5,20,IF(BX85=4,15,IF(BX85=3,12,IF(BX85=2,10,IF(BX85=1,8,IF(BX85=-1,0,5))))))</f>
        <v>0</v>
      </c>
      <c r="CM85" s="48">
        <f>IF(BZ85=5,320,IF(BZ85=4,195,IF(BZ85=3,132,IF(BZ85=2,90,IF(BZ85=1,58,IF(BZ85=-1,0,35))))))</f>
        <v>0</v>
      </c>
      <c r="CN85" s="48">
        <f>IF(BZ85=5,20,IF(BZ85=4,15,IF(BZ85=3,12,IF(BZ85=2,10,IF(BZ85=1,8,IF(BZ85=-1,0,5))))))</f>
        <v>0</v>
      </c>
      <c r="CO85" s="48">
        <f>IF(CB85=5,320,IF(CB85=4,195,IF(CB85=3,132,IF(CB85=2,90,IF(CB85=1,58,IF(CB85=-1,0,35))))))</f>
        <v>0</v>
      </c>
      <c r="CP85" s="48">
        <f>IF(CB85=5,20,IF(CB85=4,15,IF(CB85=3,12,IF(CB85=2,10,IF(CB85=1,8,IF(CB85=-1,0,5))))))</f>
        <v>0</v>
      </c>
      <c r="CQ85" s="48">
        <f>IF(CD85=5,320,IF(CD85=4,195,IF(CD85=3,132,IF(CD85=2,90,IF(CD85=1,58,IF(CD85=-1,0,35))))))</f>
        <v>0</v>
      </c>
      <c r="CR85" s="48">
        <f>IF(CD85=5,20,IF(CD85=4,15,IF(CD85=3,12,IF(CD85=2,10,IF(CD85=1,8,IF(CD85=-1,0,5))))))</f>
        <v>0</v>
      </c>
      <c r="CS85" s="48">
        <f>IF(CF85=5,320,IF(CF85=4,195,IF(CF85=3,132,IF(CF85=2,90,IF(CF85=1,58,IF(CF85=-1,0,35))))))</f>
        <v>0</v>
      </c>
      <c r="CT85" s="48">
        <f>IF(CF85=5,20,IF(CF85=4,15,IF(CF85=3,12,IF(CF85=2,10,IF(CF85=1,8,IF(CF85=-1,0,5))))))</f>
        <v>0</v>
      </c>
      <c r="CU85" s="48">
        <f>IF(CH85=5,320,IF(CH85=4,195,IF(CH85=3,132,IF(CH85=2,90,IF(CH85=1,58,IF(CH85=-1,0,35))))))</f>
        <v>0</v>
      </c>
      <c r="CV85" s="48">
        <f>IF(CH85=5,20,IF(CH85=4,15,IF(CH85=3,12,IF(CH85=2,10,IF(CH85=1,8,IF(CH85=-1,0,5))))))</f>
        <v>0</v>
      </c>
      <c r="CW85" s="48">
        <f>IF(BY85&gt;10,(BY85/10)-ROUNDDOWN(BY85/10,0),0)+IF(CA85&gt;10,(CA85/10)-ROUNDDOWN(CA85/10,0),0)+IF(CC85&gt;10,(CC85/10)-ROUNDDOWN(CC85/10,0),0)+IF(CE85&gt;10,(CE85/10)-ROUNDDOWN(CE85/10,0),0)+IF(CG85&gt;10,(CG85/10)-ROUNDDOWN(CG85/10,0),0)+IF(CI85&gt;10,(CI85/10)-ROUNDDOWN(CI85/10,0),0)</f>
        <v>0</v>
      </c>
      <c r="CX85" s="48">
        <f>1+(CW85/10)</f>
        <v>1</v>
      </c>
    </row>
    <row r="86" ht="20.05" customHeight="1">
      <c r="A86" t="s" s="43">
        <v>365</v>
      </c>
      <c r="B86" s="49"/>
      <c r="C86" t="s" s="45">
        <v>279</v>
      </c>
      <c r="D86" s="13">
        <v>7</v>
      </c>
      <c r="E86" t="s" s="15">
        <v>232</v>
      </c>
      <c r="F86" t="s" s="15">
        <v>275</v>
      </c>
      <c r="G86" t="s" s="15">
        <v>282</v>
      </c>
      <c r="H86" s="12">
        <v>2</v>
      </c>
      <c r="I86" t="s" s="15">
        <v>277</v>
      </c>
      <c r="J86" s="12">
        <v>49</v>
      </c>
      <c r="K86" t="s" s="14">
        <v>236</v>
      </c>
      <c r="L86" t="s" s="15">
        <v>265</v>
      </c>
      <c r="M86" t="s" s="15">
        <v>27</v>
      </c>
      <c r="N86" s="46">
        <f>ROUND((SUM(AA86,T86:Y86,AC86:AE86,Z86*10)-AB86*15)*(IF(K86="Heavy",0.15,IF(K86="Medium",0,IF(K86="Light",-0.15,10)))+1),0)</f>
        <v>0</v>
      </c>
      <c r="O86" s="50"/>
      <c r="P86" s="46">
        <f>ROUNDDOWN((BI86+AU86+AG86)/5,0)+(BJ86+AV86+AH86)+(BN86+AZ86+AL86)+(BO86+BA86+AM86)+(BK86+AW86+AI86)+(BS86+BE86+AQ86)+(BL86+AX86+AJ86)+(BQ86+BC86+AO86)+(2*((BT86+BF86+AR86)+(BU86+BG86+AS86)))+(CK86+CM86+CO86+CQ86+CS86+CU86)+(CL86*BY86)+(CN86*CA86)+(CP86+CC86)+(CR86+CE86)+(CT86+CG86)+(CV86+CI86)+BV86</f>
        <v>-4</v>
      </c>
      <c r="Q86" s="46">
        <f>ROUNDDOWN(((S86/5)+T86+X86+Y86+U86+AC86+V86+AA86+(2*(AD86+AE86))+CK86+CM86+CO86+CQ86+CS86+CU86+(CL86*BX86)+(CN86*BZ86)+(CP86*CB86)+(CR86*CD86)+(CT86*CF86)+(CV86*CH86))*CX86,0)</f>
        <v>0</v>
      </c>
      <c r="R86" s="46">
        <f>ROUNDDOWN(AVERAGE(P86:Q86),0)</f>
        <v>-2</v>
      </c>
      <c r="S86" s="12">
        <f>AG86+AU86+BI86</f>
        <v>0</v>
      </c>
      <c r="T86" s="12">
        <f>AH86+AV86+BJ86</f>
        <v>0</v>
      </c>
      <c r="U86" s="12">
        <f>AI86+AW86+BK86</f>
        <v>0</v>
      </c>
      <c r="V86" s="12">
        <f>AJ86+AX86+BL86</f>
        <v>0</v>
      </c>
      <c r="W86" s="12">
        <f>AK86+AY86+BM86</f>
        <v>0</v>
      </c>
      <c r="X86" s="12">
        <f>AL86+AZ86+BN86</f>
        <v>0</v>
      </c>
      <c r="Y86" s="12">
        <f>AM86+BA86+BO86</f>
        <v>0</v>
      </c>
      <c r="Z86" s="12">
        <f>AN86+BB86+BP86</f>
        <v>0</v>
      </c>
      <c r="AA86" s="12">
        <f>AO86+BC86+BQ86</f>
        <v>0</v>
      </c>
      <c r="AB86" s="12">
        <f>AP86+BD86+BR86</f>
        <v>0</v>
      </c>
      <c r="AC86" s="12">
        <f>AQ86+BE86+BS86</f>
        <v>0</v>
      </c>
      <c r="AD86" s="12">
        <f>AR86+BF86+BT86</f>
        <v>0</v>
      </c>
      <c r="AE86" s="12">
        <f>AS86+BG86+BU86</f>
        <v>0</v>
      </c>
      <c r="AF86" s="28"/>
      <c r="AG86" s="28"/>
      <c r="AH86" s="28"/>
      <c r="AI86" s="28"/>
      <c r="AJ86" s="28"/>
      <c r="AK86" s="28"/>
      <c r="AL86" s="28"/>
      <c r="AM86" s="28"/>
      <c r="AN86" s="28"/>
      <c r="AO86" s="28"/>
      <c r="AP86" s="28"/>
      <c r="AQ86" s="28"/>
      <c r="AR86" s="28"/>
      <c r="AS86" s="28"/>
      <c r="AT86" s="28"/>
      <c r="AU86" s="12">
        <f>IF($H86=3,IF(OR($F86="DDV",$F86="DDG",$F86="DD"),'Fleet Tech - Tech'!B$3,IF($F86="CL",'Fleet Tech - Tech'!B$4,IF($F86="CA",'Fleet Tech - Tech'!B$5,IF($F86="BC",'Fleet Tech - Tech'!B$6,IF($F86="BB",'Fleet Tech - Tech'!B$7,IF($F86="CVL",'Fleet Tech - Tech'!B$8,IF($F86="CV",'Fleet Tech - Tech'!B$9,IF($F86="SS",'Fleet Tech - Tech'!B$10,IF($F86="BBV",'Fleet Tech - Tech'!B$11,IF($F86="CB",'Fleet Tech - Tech'!B$15,IF($F86="AE",'Fleet Tech - Tech'!B$16,IF($F86="IX",'Fleet Tech - Tech'!B$17,IF($F86="BM",'Fleet Tech - Tech'!B$13,IF($F86="AR",'Fleet Tech - Tech'!B$12,IF($F86="SSV",'Fleet Tech - Tech'!B$14,"nil"))))))))))))))),0)</f>
        <v>0</v>
      </c>
      <c r="AV86" s="12">
        <f>IF($H86=3,IF(OR($F86="DDV",$F86="DDG",$F86="DD"),'Fleet Tech - Tech'!C$3,IF($F86="CL",'Fleet Tech - Tech'!C$4,IF($F86="CA",'Fleet Tech - Tech'!C$5,IF($F86="BC",'Fleet Tech - Tech'!C$6,IF($F86="BB",'Fleet Tech - Tech'!C$7,IF($F86="CVL",'Fleet Tech - Tech'!C$8,IF($F86="CV",'Fleet Tech - Tech'!C$9,IF($F86="SS",'Fleet Tech - Tech'!C$10,IF($F86="BBV",'Fleet Tech - Tech'!C$11,IF($F86="CB",'Fleet Tech - Tech'!C$15,IF($F86="AE",'Fleet Tech - Tech'!C$16,IF($F86="IX",'Fleet Tech - Tech'!C$17,IF($F86="BM",'Fleet Tech - Tech'!C$13,IF($F86="AR",'Fleet Tech - Tech'!C$12,IF($F86="SSV",'Fleet Tech - Tech'!C$14,"nil"))))))))))))))),0)</f>
        <v>0</v>
      </c>
      <c r="AW86" s="12">
        <f>IF($H86=3,IF(OR($F86="DDV",$F86="DDG",$F86="DD"),'Fleet Tech - Tech'!D$3,IF($F86="CL",'Fleet Tech - Tech'!D$4,IF($F86="CA",'Fleet Tech - Tech'!D$5,IF($F86="BC",'Fleet Tech - Tech'!D$6,IF($F86="BB",'Fleet Tech - Tech'!D$7,IF($F86="CVL",'Fleet Tech - Tech'!D$8,IF($F86="CV",'Fleet Tech - Tech'!D$9,IF($F86="SS",'Fleet Tech - Tech'!D$10,IF($F86="BBV",'Fleet Tech - Tech'!D$11,IF($F86="CB",'Fleet Tech - Tech'!D$15,IF($F86="AE",'Fleet Tech - Tech'!D$16,IF($F86="IX",'Fleet Tech - Tech'!D$17,IF($F86="BM",'Fleet Tech - Tech'!D$13,IF($F86="AR",'Fleet Tech - Tech'!D$12,IF($F86="SSV",'Fleet Tech - Tech'!D$14,"nil"))))))))))))))),0)</f>
        <v>0</v>
      </c>
      <c r="AX86" s="12">
        <f>IF($H86=3,IF(OR($F86="DDV",$F86="DDG",$F86="DD"),'Fleet Tech - Tech'!E$3,IF($F86="CL",'Fleet Tech - Tech'!E$4,IF($F86="CA",'Fleet Tech - Tech'!E$5,IF($F86="BC",'Fleet Tech - Tech'!E$6,IF($F86="BB",'Fleet Tech - Tech'!E$7,IF($F86="CVL",'Fleet Tech - Tech'!E$8,IF($F86="CV",'Fleet Tech - Tech'!E$9,IF($F86="SS",'Fleet Tech - Tech'!E$10,IF($F86="BBV",'Fleet Tech - Tech'!E$11,IF($F86="CB",'Fleet Tech - Tech'!E$15,IF($F86="AE",'Fleet Tech - Tech'!E$16,IF($F86="IX",'Fleet Tech - Tech'!E$17,IF($F86="BM",'Fleet Tech - Tech'!E$13,IF($F86="AR",'Fleet Tech - Tech'!E$12,IF($F86="SSV",'Fleet Tech - Tech'!E$14,"nil"))))))))))))))),0)</f>
        <v>0</v>
      </c>
      <c r="AY86" s="12">
        <f>IF($H86=3,IF(OR($F86="DDV",$F86="DDG",$F86="DD"),'Fleet Tech - Tech'!F$3,IF($F86="CL",'Fleet Tech - Tech'!F$4,IF($F86="CA",'Fleet Tech - Tech'!F$5,IF($F86="BC",'Fleet Tech - Tech'!F$6,IF($F86="BB",'Fleet Tech - Tech'!F$7,IF($F86="CVL",'Fleet Tech - Tech'!F$8,IF($F86="CV",'Fleet Tech - Tech'!F$9,IF($F86="SS",'Fleet Tech - Tech'!F$10,IF($F86="BBV",'Fleet Tech - Tech'!F$11,IF($F86="CB",'Fleet Tech - Tech'!F$15,IF($F86="AE",'Fleet Tech - Tech'!F$16,IF($F86="IX",'Fleet Tech - Tech'!F$17,IF($F86="BM",'Fleet Tech - Tech'!F$13,IF($F86="AR",'Fleet Tech - Tech'!F$12,IF($F86="SSV",'Fleet Tech - Tech'!F$14,"nil"))))))))))))))),0)</f>
        <v>0</v>
      </c>
      <c r="AZ86" s="12">
        <f>IF($H86=3,IF(OR($F86="DDV",$F86="DDG",$F86="DD"),'Fleet Tech - Tech'!G$3,IF($F86="CL",'Fleet Tech - Tech'!G$4,IF($F86="CA",'Fleet Tech - Tech'!G$5,IF($F86="BC",'Fleet Tech - Tech'!G$6,IF($F86="BB",'Fleet Tech - Tech'!G$7,IF($F86="CVL",'Fleet Tech - Tech'!G$8,IF($F86="CV",'Fleet Tech - Tech'!G$9,IF($F86="SS",'Fleet Tech - Tech'!G$10,IF($F86="BBV",'Fleet Tech - Tech'!G$11,IF($F86="CB",'Fleet Tech - Tech'!G$15,IF($F86="AE",'Fleet Tech - Tech'!G$16,IF($F86="IX",'Fleet Tech - Tech'!G$17,IF($F86="BM",'Fleet Tech - Tech'!G$13,IF($F86="AR",'Fleet Tech - Tech'!G$12,IF($F86="SSV",'Fleet Tech - Tech'!G$14,"nil"))))))))))))))),0)</f>
        <v>0</v>
      </c>
      <c r="BA86" s="12">
        <f>IF($H86=3,IF(OR($F86="DDV",$F86="DDG",$F86="DD"),'Fleet Tech - Tech'!H$3,IF($F86="CL",'Fleet Tech - Tech'!H$4,IF($F86="CA",'Fleet Tech - Tech'!H$5,IF($F86="BC",'Fleet Tech - Tech'!H$6,IF($F86="BB",'Fleet Tech - Tech'!H$7,IF($F86="CVL",'Fleet Tech - Tech'!H$8,IF($F86="CV",'Fleet Tech - Tech'!H$9,IF($F86="SS",'Fleet Tech - Tech'!H$10,IF($F86="BBV",'Fleet Tech - Tech'!H$11,IF($F86="CB",'Fleet Tech - Tech'!H$15,IF($F86="AE",'Fleet Tech - Tech'!H$16,IF($F86="IX",'Fleet Tech - Tech'!H$17,IF($F86="BM",'Fleet Tech - Tech'!H$13,IF($F86="AR",'Fleet Tech - Tech'!H$12,IF($F86="SSV",'Fleet Tech - Tech'!H$14,"nil"))))))))))))))),0)</f>
        <v>0</v>
      </c>
      <c r="BB86" s="12">
        <f>IF($H86=3,IF(OR($F86="DDV",$F86="DDG",$F86="DD"),'Fleet Tech - Tech'!I$3,IF($F86="CL",'Fleet Tech - Tech'!I$4,IF($F86="CA",'Fleet Tech - Tech'!I$5,IF($F86="BC",'Fleet Tech - Tech'!I$6,IF($F86="BB",'Fleet Tech - Tech'!I$7,IF($F86="CVL",'Fleet Tech - Tech'!I$8,IF($F86="CV",'Fleet Tech - Tech'!I$9,IF($F86="SS",'Fleet Tech - Tech'!I$10,IF($F86="BBV",'Fleet Tech - Tech'!I$11,IF($F86="CB",'Fleet Tech - Tech'!I$15,IF($F86="AE",'Fleet Tech - Tech'!I$16,IF($F86="IX",'Fleet Tech - Tech'!I$17,IF($F86="BM",'Fleet Tech - Tech'!I$13,IF($F86="AR",'Fleet Tech - Tech'!I$12,IF($F86="SSV",'Fleet Tech - Tech'!I$14,"nil"))))))))))))))),0)</f>
        <v>0</v>
      </c>
      <c r="BC86" s="12">
        <f>IF($H86=3,IF(OR($F86="DDV",$F86="DDG",$F86="DD"),'Fleet Tech - Tech'!J$3,IF($F86="CL",'Fleet Tech - Tech'!J$4,IF($F86="CA",'Fleet Tech - Tech'!J$5,IF($F86="BC",'Fleet Tech - Tech'!J$6,IF($F86="BB",'Fleet Tech - Tech'!J$7,IF($F86="CVL",'Fleet Tech - Tech'!J$8,IF($F86="CV",'Fleet Tech - Tech'!J$9,IF($F86="SS",'Fleet Tech - Tech'!J$10,IF($F86="BBV",'Fleet Tech - Tech'!J$11,IF($F86="CB",'Fleet Tech - Tech'!J$15,IF($F86="AE",'Fleet Tech - Tech'!J$16,IF($F86="IX",'Fleet Tech - Tech'!J$17,IF($F86="BM",'Fleet Tech - Tech'!J$13,IF($F86="AR",'Fleet Tech - Tech'!J$12,IF($F86="SSV",'Fleet Tech - Tech'!J$14,"nil"))))))))))))))),0)</f>
        <v>0</v>
      </c>
      <c r="BD86" s="12">
        <f>IF($H86=3,IF(OR($F86="DDV",$F86="DDG",$F86="DD"),'Fleet Tech - Tech'!K$3,IF($F86="CL",'Fleet Tech - Tech'!K$4,IF($F86="CA",'Fleet Tech - Tech'!K$5,IF($F86="BC",'Fleet Tech - Tech'!K$6,IF($F86="BB",'Fleet Tech - Tech'!K$7,IF($F86="CVL",'Fleet Tech - Tech'!K$8,IF($F86="CV",'Fleet Tech - Tech'!K$9,IF($F86="SS",'Fleet Tech - Tech'!K$10,IF($F86="BBV",'Fleet Tech - Tech'!K$11,IF($F86="CB",'Fleet Tech - Tech'!K$15,IF($F86="AE",'Fleet Tech - Tech'!K$16,IF($F86="IX",'Fleet Tech - Tech'!K$17,IF($F86="BM",'Fleet Tech - Tech'!K$13,IF($F86="AR",'Fleet Tech - Tech'!K$12,IF($F86="SSV",'Fleet Tech - Tech'!K$14,"nil"))))))))))))))),0)</f>
        <v>0</v>
      </c>
      <c r="BE86" s="12">
        <f>IF($H86=3,IF(OR($F86="DDV",$F86="DDG",$F86="DD"),'Fleet Tech - Tech'!L$3,IF($F86="CL",'Fleet Tech - Tech'!L$4,IF($F86="CA",'Fleet Tech - Tech'!L$5,IF($F86="BC",'Fleet Tech - Tech'!L$6,IF($F86="BB",'Fleet Tech - Tech'!L$7,IF($F86="CVL",'Fleet Tech - Tech'!L$8,IF($F86="CV",'Fleet Tech - Tech'!L$9,IF($F86="SS",'Fleet Tech - Tech'!L$10,IF($F86="BBV",'Fleet Tech - Tech'!L$11,IF($F86="CB",'Fleet Tech - Tech'!L$15,IF($F86="AE",'Fleet Tech - Tech'!L$16,IF($F86="IX",'Fleet Tech - Tech'!L$17,IF($F86="BM",'Fleet Tech - Tech'!L$13,IF($F86="AR",'Fleet Tech - Tech'!L$12,IF($F86="SSV",'Fleet Tech - Tech'!L$14,"nil"))))))))))))))),0)</f>
        <v>0</v>
      </c>
      <c r="BF86" s="12">
        <f>IF($H86=3,IF(OR($F86="DDV",$F86="DDG",$F86="DD"),'Fleet Tech - Tech'!M$3,IF($F86="CL",'Fleet Tech - Tech'!M$4,IF($F86="CA",'Fleet Tech - Tech'!M$5,IF($F86="BC",'Fleet Tech - Tech'!M$6,IF($F86="BB",'Fleet Tech - Tech'!M$7,IF($F86="CVL",'Fleet Tech - Tech'!M$8,IF($F86="CV",'Fleet Tech - Tech'!M$9,IF($F86="SS",'Fleet Tech - Tech'!M$10,IF($F86="BBV",'Fleet Tech - Tech'!M$11,IF($F86="CB",'Fleet Tech - Tech'!M$15,IF($F86="AE",'Fleet Tech - Tech'!M$16,IF($F86="IX",'Fleet Tech - Tech'!M$17,IF($F86="BM",'Fleet Tech - Tech'!M$13,IF($F86="AR",'Fleet Tech - Tech'!M$12,IF($F86="SSV",'Fleet Tech - Tech'!M$14,"nil"))))))))))))))),0)</f>
        <v>0</v>
      </c>
      <c r="BG86" s="12">
        <f>IF($H86=3,IF(OR($F86="DDV",$F86="DDG",$F86="DD"),'Fleet Tech - Tech'!N$3,IF($F86="CL",'Fleet Tech - Tech'!N$4,IF($F86="CA",'Fleet Tech - Tech'!N$5,IF($F86="BC",'Fleet Tech - Tech'!N$6,IF($F86="BB",'Fleet Tech - Tech'!N$7,IF($F86="CVL",'Fleet Tech - Tech'!N$8,IF($F86="CV",'Fleet Tech - Tech'!N$9,IF($F86="SS",'Fleet Tech - Tech'!N$10,IF($F86="BBV",'Fleet Tech - Tech'!N$11,IF($F86="CB",'Fleet Tech - Tech'!N$15,IF($F86="AE",'Fleet Tech - Tech'!N$16,IF($F86="IX",'Fleet Tech - Tech'!N$17,IF($F86="BM",'Fleet Tech - Tech'!N$13,IF($F86="AR",'Fleet Tech - Tech'!N$12,IF($F86="SSV",'Fleet Tech - Tech'!N$14,"nil"))))))))))))))),0)</f>
        <v>0</v>
      </c>
      <c r="BH86" s="28"/>
      <c r="BI86" s="28"/>
      <c r="BJ86" s="28"/>
      <c r="BK86" s="28"/>
      <c r="BL86" s="28"/>
      <c r="BM86" s="28"/>
      <c r="BN86" s="28"/>
      <c r="BO86" s="28"/>
      <c r="BP86" s="28"/>
      <c r="BQ86" s="28"/>
      <c r="BR86" s="28"/>
      <c r="BS86" s="28"/>
      <c r="BT86" s="28"/>
      <c r="BU86" s="28"/>
      <c r="BV86" s="28"/>
      <c r="BW86" s="28"/>
      <c r="BX86" s="12">
        <v>-1</v>
      </c>
      <c r="BY86" s="12">
        <v>-1</v>
      </c>
      <c r="BZ86" s="12">
        <v>-1</v>
      </c>
      <c r="CA86" s="12">
        <v>-1</v>
      </c>
      <c r="CB86" s="12">
        <v>-1</v>
      </c>
      <c r="CC86" s="12">
        <v>-1</v>
      </c>
      <c r="CD86" s="12">
        <v>-1</v>
      </c>
      <c r="CE86" s="12">
        <v>-1</v>
      </c>
      <c r="CF86" s="12">
        <v>-1</v>
      </c>
      <c r="CG86" s="12">
        <v>-1</v>
      </c>
      <c r="CH86" s="12">
        <v>-1</v>
      </c>
      <c r="CI86" s="12">
        <v>-1</v>
      </c>
      <c r="CJ86" s="47"/>
      <c r="CK86" s="48">
        <f>IF(BX86=5,320,IF(BX86=4,195,IF(BX86=3,132,IF(BX86=2,90,IF(BX86=1,58,IF(BX86=-1,0,35))))))</f>
        <v>0</v>
      </c>
      <c r="CL86" s="48">
        <f>IF(BX86=5,20,IF(BX86=4,15,IF(BX86=3,12,IF(BX86=2,10,IF(BX86=1,8,IF(BX86=-1,0,5))))))</f>
        <v>0</v>
      </c>
      <c r="CM86" s="48">
        <f>IF(BZ86=5,320,IF(BZ86=4,195,IF(BZ86=3,132,IF(BZ86=2,90,IF(BZ86=1,58,IF(BZ86=-1,0,35))))))</f>
        <v>0</v>
      </c>
      <c r="CN86" s="48">
        <f>IF(BZ86=5,20,IF(BZ86=4,15,IF(BZ86=3,12,IF(BZ86=2,10,IF(BZ86=1,8,IF(BZ86=-1,0,5))))))</f>
        <v>0</v>
      </c>
      <c r="CO86" s="48">
        <f>IF(CB86=5,320,IF(CB86=4,195,IF(CB86=3,132,IF(CB86=2,90,IF(CB86=1,58,IF(CB86=-1,0,35))))))</f>
        <v>0</v>
      </c>
      <c r="CP86" s="48">
        <f>IF(CB86=5,20,IF(CB86=4,15,IF(CB86=3,12,IF(CB86=2,10,IF(CB86=1,8,IF(CB86=-1,0,5))))))</f>
        <v>0</v>
      </c>
      <c r="CQ86" s="48">
        <f>IF(CD86=5,320,IF(CD86=4,195,IF(CD86=3,132,IF(CD86=2,90,IF(CD86=1,58,IF(CD86=-1,0,35))))))</f>
        <v>0</v>
      </c>
      <c r="CR86" s="48">
        <f>IF(CD86=5,20,IF(CD86=4,15,IF(CD86=3,12,IF(CD86=2,10,IF(CD86=1,8,IF(CD86=-1,0,5))))))</f>
        <v>0</v>
      </c>
      <c r="CS86" s="48">
        <f>IF(CF86=5,320,IF(CF86=4,195,IF(CF86=3,132,IF(CF86=2,90,IF(CF86=1,58,IF(CF86=-1,0,35))))))</f>
        <v>0</v>
      </c>
      <c r="CT86" s="48">
        <f>IF(CF86=5,20,IF(CF86=4,15,IF(CF86=3,12,IF(CF86=2,10,IF(CF86=1,8,IF(CF86=-1,0,5))))))</f>
        <v>0</v>
      </c>
      <c r="CU86" s="48">
        <f>IF(CH86=5,320,IF(CH86=4,195,IF(CH86=3,132,IF(CH86=2,90,IF(CH86=1,58,IF(CH86=-1,0,35))))))</f>
        <v>0</v>
      </c>
      <c r="CV86" s="48">
        <f>IF(CH86=5,20,IF(CH86=4,15,IF(CH86=3,12,IF(CH86=2,10,IF(CH86=1,8,IF(CH86=-1,0,5))))))</f>
        <v>0</v>
      </c>
      <c r="CW86" s="48">
        <f>IF(BY86&gt;10,(BY86/10)-ROUNDDOWN(BY86/10,0),0)+IF(CA86&gt;10,(CA86/10)-ROUNDDOWN(CA86/10,0),0)+IF(CC86&gt;10,(CC86/10)-ROUNDDOWN(CC86/10,0),0)+IF(CE86&gt;10,(CE86/10)-ROUNDDOWN(CE86/10,0),0)+IF(CG86&gt;10,(CG86/10)-ROUNDDOWN(CG86/10,0),0)+IF(CI86&gt;10,(CI86/10)-ROUNDDOWN(CI86/10,0),0)</f>
        <v>0</v>
      </c>
      <c r="CX86" s="48">
        <f>1+(CW86/10)</f>
        <v>1</v>
      </c>
    </row>
    <row r="87" ht="20.05" customHeight="1">
      <c r="A87" t="s" s="43">
        <v>366</v>
      </c>
      <c r="B87" s="49"/>
      <c r="C87" t="s" s="45">
        <v>73</v>
      </c>
      <c r="D87" s="13">
        <v>7</v>
      </c>
      <c r="E87" t="s" s="15">
        <v>240</v>
      </c>
      <c r="F87" t="s" s="15">
        <v>280</v>
      </c>
      <c r="G87" t="s" s="15">
        <v>314</v>
      </c>
      <c r="H87" s="12">
        <v>2</v>
      </c>
      <c r="I87" t="s" s="15">
        <v>300</v>
      </c>
      <c r="J87" s="12">
        <v>49</v>
      </c>
      <c r="K87" t="s" s="14">
        <v>264</v>
      </c>
      <c r="L87" t="s" s="15">
        <v>265</v>
      </c>
      <c r="M87" t="s" s="15">
        <v>27</v>
      </c>
      <c r="N87" s="46">
        <f>ROUND((SUM(AA87,T87:Y87,AC87:AE87,Z87*10)-AB87*15)*(IF(K87="Heavy",0.15,IF(K87="Medium",0,IF(K87="Light",-0.15,10)))+1),0)</f>
        <v>475</v>
      </c>
      <c r="O87" s="46">
        <v>1742</v>
      </c>
      <c r="P87" s="46">
        <f>ROUNDDOWN((BI87+AU87+AG87)/5,0)+(BJ87+AV87+AH87)+(BN87+AZ87+AL87)+(BO87+BA87+AM87)+(BK87+AW87+AI87)+(BS87+BE87+AQ87)+(BL87+AX87+AJ87)+(BQ87+BC87+AO87)+(2*((BT87+BF87+AR87)+(BU87+BG87+AS87)))+(CK87+CM87+CO87+CQ87+CS87+CU87)+(CL87*BY87)+(CN87*CA87)+(CP87+CC87)+(CR87+CE87)+(CT87+CG87)+(CV87+CI87)+BV87</f>
        <v>2101</v>
      </c>
      <c r="Q87" s="46">
        <f>ROUNDDOWN(((S87/5)+T87+X87+Y87+U87+AC87+V87+AA87+(2*(AD87+AE87))+CK87+CM87+CO87+CQ87+CS87+CU87+(CL87*BX87)+(CN87*BZ87)+(CP87*CB87)+(CR87*CD87)+(CT87*CF87)+(CV87*CH87))*CX87,0)</f>
        <v>1764</v>
      </c>
      <c r="R87" s="46">
        <f>ROUNDDOWN(AVERAGE(P87:Q87),0)</f>
        <v>1932</v>
      </c>
      <c r="S87" s="12">
        <f>AG87+AU87+BI87</f>
        <v>3744</v>
      </c>
      <c r="T87" s="12">
        <f>AH87+AV87+BJ87</f>
        <v>212</v>
      </c>
      <c r="U87" s="12">
        <f>AI87+AW87+BK87</f>
        <v>123</v>
      </c>
      <c r="V87" s="12">
        <f>AJ87+AX87+BL87</f>
        <v>0</v>
      </c>
      <c r="W87" s="12">
        <f>AK87+AY87+BM87</f>
        <v>72</v>
      </c>
      <c r="X87" s="12">
        <f>AL87+AZ87+BN87</f>
        <v>0</v>
      </c>
      <c r="Y87" s="12">
        <f>AM87+BA87+BO87</f>
        <v>0</v>
      </c>
      <c r="Z87" s="12">
        <f>AN87+BB87+BP87</f>
        <v>0</v>
      </c>
      <c r="AA87" s="12">
        <f>AO87+BC87+BQ87</f>
        <v>21</v>
      </c>
      <c r="AB87" s="12">
        <f>AP87+BD87+BR87</f>
        <v>9</v>
      </c>
      <c r="AC87" s="12">
        <f>AQ87+BE87+BS87</f>
        <v>69</v>
      </c>
      <c r="AD87" s="12">
        <f>AR87+BF87+BT87</f>
        <v>12</v>
      </c>
      <c r="AE87" s="12">
        <f>AS87+BG87+BU87</f>
        <v>39</v>
      </c>
      <c r="AF87" s="28"/>
      <c r="AG87" s="12">
        <v>90</v>
      </c>
      <c r="AH87" s="12">
        <v>37</v>
      </c>
      <c r="AI87" s="12">
        <v>12</v>
      </c>
      <c r="AJ87" s="28"/>
      <c r="AK87" s="28"/>
      <c r="AL87" s="28"/>
      <c r="AM87" s="28"/>
      <c r="AN87" s="28"/>
      <c r="AO87" s="28"/>
      <c r="AP87" s="28"/>
      <c r="AQ87" s="12">
        <v>2</v>
      </c>
      <c r="AR87" s="28"/>
      <c r="AS87" s="28"/>
      <c r="AT87" s="28"/>
      <c r="AU87" s="12">
        <f>IF($H87=3,IF(OR($F87="DDV",$F87="DDG",$F87="DD"),'Fleet Tech - Tech'!B$3,IF($F87="CL",'Fleet Tech - Tech'!B$4,IF($F87="CA",'Fleet Tech - Tech'!B$5,IF($F87="BC",'Fleet Tech - Tech'!B$6,IF($F87="BB",'Fleet Tech - Tech'!B$7,IF($F87="CVL",'Fleet Tech - Tech'!B$8,IF($F87="CV",'Fleet Tech - Tech'!B$9,IF($F87="SS",'Fleet Tech - Tech'!B$10,IF($F87="BBV",'Fleet Tech - Tech'!B$11,IF($F87="CB",'Fleet Tech - Tech'!B$15,IF($F87="AE",'Fleet Tech - Tech'!B$16,IF($F87="IX",'Fleet Tech - Tech'!B$17,IF($F87="BM",'Fleet Tech - Tech'!B$13,IF($F87="AR",'Fleet Tech - Tech'!B$12,IF($F87="SSV",'Fleet Tech - Tech'!B$14,"nil"))))))))))))))),0)</f>
        <v>0</v>
      </c>
      <c r="AV87" s="12">
        <f>IF($H87=3,IF(OR($F87="DDV",$F87="DDG",$F87="DD"),'Fleet Tech - Tech'!C$3,IF($F87="CL",'Fleet Tech - Tech'!C$4,IF($F87="CA",'Fleet Tech - Tech'!C$5,IF($F87="BC",'Fleet Tech - Tech'!C$6,IF($F87="BB",'Fleet Tech - Tech'!C$7,IF($F87="CVL",'Fleet Tech - Tech'!C$8,IF($F87="CV",'Fleet Tech - Tech'!C$9,IF($F87="SS",'Fleet Tech - Tech'!C$10,IF($F87="BBV",'Fleet Tech - Tech'!C$11,IF($F87="CB",'Fleet Tech - Tech'!C$15,IF($F87="AE",'Fleet Tech - Tech'!C$16,IF($F87="IX",'Fleet Tech - Tech'!C$17,IF($F87="BM",'Fleet Tech - Tech'!C$13,IF($F87="AR",'Fleet Tech - Tech'!C$12,IF($F87="SSV",'Fleet Tech - Tech'!C$14,"nil"))))))))))))))),0)</f>
        <v>0</v>
      </c>
      <c r="AW87" s="12">
        <f>IF($H87=3,IF(OR($F87="DDV",$F87="DDG",$F87="DD"),'Fleet Tech - Tech'!D$3,IF($F87="CL",'Fleet Tech - Tech'!D$4,IF($F87="CA",'Fleet Tech - Tech'!D$5,IF($F87="BC",'Fleet Tech - Tech'!D$6,IF($F87="BB",'Fleet Tech - Tech'!D$7,IF($F87="CVL",'Fleet Tech - Tech'!D$8,IF($F87="CV",'Fleet Tech - Tech'!D$9,IF($F87="SS",'Fleet Tech - Tech'!D$10,IF($F87="BBV",'Fleet Tech - Tech'!D$11,IF($F87="CB",'Fleet Tech - Tech'!D$15,IF($F87="AE",'Fleet Tech - Tech'!D$16,IF($F87="IX",'Fleet Tech - Tech'!D$17,IF($F87="BM",'Fleet Tech - Tech'!D$13,IF($F87="AR",'Fleet Tech - Tech'!D$12,IF($F87="SSV",'Fleet Tech - Tech'!D$14,"nil"))))))))))))))),0)</f>
        <v>0</v>
      </c>
      <c r="AX87" s="12">
        <f>IF($H87=3,IF(OR($F87="DDV",$F87="DDG",$F87="DD"),'Fleet Tech - Tech'!E$3,IF($F87="CL",'Fleet Tech - Tech'!E$4,IF($F87="CA",'Fleet Tech - Tech'!E$5,IF($F87="BC",'Fleet Tech - Tech'!E$6,IF($F87="BB",'Fleet Tech - Tech'!E$7,IF($F87="CVL",'Fleet Tech - Tech'!E$8,IF($F87="CV",'Fleet Tech - Tech'!E$9,IF($F87="SS",'Fleet Tech - Tech'!E$10,IF($F87="BBV",'Fleet Tech - Tech'!E$11,IF($F87="CB",'Fleet Tech - Tech'!E$15,IF($F87="AE",'Fleet Tech - Tech'!E$16,IF($F87="IX",'Fleet Tech - Tech'!E$17,IF($F87="BM",'Fleet Tech - Tech'!E$13,IF($F87="AR",'Fleet Tech - Tech'!E$12,IF($F87="SSV",'Fleet Tech - Tech'!E$14,"nil"))))))))))))))),0)</f>
        <v>0</v>
      </c>
      <c r="AY87" s="12">
        <f>IF($H87=3,IF(OR($F87="DDV",$F87="DDG",$F87="DD"),'Fleet Tech - Tech'!F$3,IF($F87="CL",'Fleet Tech - Tech'!F$4,IF($F87="CA",'Fleet Tech - Tech'!F$5,IF($F87="BC",'Fleet Tech - Tech'!F$6,IF($F87="BB",'Fleet Tech - Tech'!F$7,IF($F87="CVL",'Fleet Tech - Tech'!F$8,IF($F87="CV",'Fleet Tech - Tech'!F$9,IF($F87="SS",'Fleet Tech - Tech'!F$10,IF($F87="BBV",'Fleet Tech - Tech'!F$11,IF($F87="CB",'Fleet Tech - Tech'!F$15,IF($F87="AE",'Fleet Tech - Tech'!F$16,IF($F87="IX",'Fleet Tech - Tech'!F$17,IF($F87="BM",'Fleet Tech - Tech'!F$13,IF($F87="AR",'Fleet Tech - Tech'!F$12,IF($F87="SSV",'Fleet Tech - Tech'!F$14,"nil"))))))))))))))),0)</f>
        <v>0</v>
      </c>
      <c r="AZ87" s="12">
        <f>IF($H87=3,IF(OR($F87="DDV",$F87="DDG",$F87="DD"),'Fleet Tech - Tech'!G$3,IF($F87="CL",'Fleet Tech - Tech'!G$4,IF($F87="CA",'Fleet Tech - Tech'!G$5,IF($F87="BC",'Fleet Tech - Tech'!G$6,IF($F87="BB",'Fleet Tech - Tech'!G$7,IF($F87="CVL",'Fleet Tech - Tech'!G$8,IF($F87="CV",'Fleet Tech - Tech'!G$9,IF($F87="SS",'Fleet Tech - Tech'!G$10,IF($F87="BBV",'Fleet Tech - Tech'!G$11,IF($F87="CB",'Fleet Tech - Tech'!G$15,IF($F87="AE",'Fleet Tech - Tech'!G$16,IF($F87="IX",'Fleet Tech - Tech'!G$17,IF($F87="BM",'Fleet Tech - Tech'!G$13,IF($F87="AR",'Fleet Tech - Tech'!G$12,IF($F87="SSV",'Fleet Tech - Tech'!G$14,"nil"))))))))))))))),0)</f>
        <v>0</v>
      </c>
      <c r="BA87" s="12">
        <f>IF($H87=3,IF(OR($F87="DDV",$F87="DDG",$F87="DD"),'Fleet Tech - Tech'!H$3,IF($F87="CL",'Fleet Tech - Tech'!H$4,IF($F87="CA",'Fleet Tech - Tech'!H$5,IF($F87="BC",'Fleet Tech - Tech'!H$6,IF($F87="BB",'Fleet Tech - Tech'!H$7,IF($F87="CVL",'Fleet Tech - Tech'!H$8,IF($F87="CV",'Fleet Tech - Tech'!H$9,IF($F87="SS",'Fleet Tech - Tech'!H$10,IF($F87="BBV",'Fleet Tech - Tech'!H$11,IF($F87="CB",'Fleet Tech - Tech'!H$15,IF($F87="AE",'Fleet Tech - Tech'!H$16,IF($F87="IX",'Fleet Tech - Tech'!H$17,IF($F87="BM",'Fleet Tech - Tech'!H$13,IF($F87="AR",'Fleet Tech - Tech'!H$12,IF($F87="SSV",'Fleet Tech - Tech'!H$14,"nil"))))))))))))))),0)</f>
        <v>0</v>
      </c>
      <c r="BB87" s="12">
        <f>IF($H87=3,IF(OR($F87="DDV",$F87="DDG",$F87="DD"),'Fleet Tech - Tech'!I$3,IF($F87="CL",'Fleet Tech - Tech'!I$4,IF($F87="CA",'Fleet Tech - Tech'!I$5,IF($F87="BC",'Fleet Tech - Tech'!I$6,IF($F87="BB",'Fleet Tech - Tech'!I$7,IF($F87="CVL",'Fleet Tech - Tech'!I$8,IF($F87="CV",'Fleet Tech - Tech'!I$9,IF($F87="SS",'Fleet Tech - Tech'!I$10,IF($F87="BBV",'Fleet Tech - Tech'!I$11,IF($F87="CB",'Fleet Tech - Tech'!I$15,IF($F87="AE",'Fleet Tech - Tech'!I$16,IF($F87="IX",'Fleet Tech - Tech'!I$17,IF($F87="BM",'Fleet Tech - Tech'!I$13,IF($F87="AR",'Fleet Tech - Tech'!I$12,IF($F87="SSV",'Fleet Tech - Tech'!I$14,"nil"))))))))))))))),0)</f>
        <v>0</v>
      </c>
      <c r="BC87" s="12">
        <f>IF($H87=3,IF(OR($F87="DDV",$F87="DDG",$F87="DD"),'Fleet Tech - Tech'!J$3,IF($F87="CL",'Fleet Tech - Tech'!J$4,IF($F87="CA",'Fleet Tech - Tech'!J$5,IF($F87="BC",'Fleet Tech - Tech'!J$6,IF($F87="BB",'Fleet Tech - Tech'!J$7,IF($F87="CVL",'Fleet Tech - Tech'!J$8,IF($F87="CV",'Fleet Tech - Tech'!J$9,IF($F87="SS",'Fleet Tech - Tech'!J$10,IF($F87="BBV",'Fleet Tech - Tech'!J$11,IF($F87="CB",'Fleet Tech - Tech'!J$15,IF($F87="AE",'Fleet Tech - Tech'!J$16,IF($F87="IX",'Fleet Tech - Tech'!J$17,IF($F87="BM",'Fleet Tech - Tech'!J$13,IF($F87="AR",'Fleet Tech - Tech'!J$12,IF($F87="SSV",'Fleet Tech - Tech'!J$14,"nil"))))))))))))))),0)</f>
        <v>0</v>
      </c>
      <c r="BD87" s="12">
        <f>IF($H87=3,IF(OR($F87="DDV",$F87="DDG",$F87="DD"),'Fleet Tech - Tech'!K$3,IF($F87="CL",'Fleet Tech - Tech'!K$4,IF($F87="CA",'Fleet Tech - Tech'!K$5,IF($F87="BC",'Fleet Tech - Tech'!K$6,IF($F87="BB",'Fleet Tech - Tech'!K$7,IF($F87="CVL",'Fleet Tech - Tech'!K$8,IF($F87="CV",'Fleet Tech - Tech'!K$9,IF($F87="SS",'Fleet Tech - Tech'!K$10,IF($F87="BBV",'Fleet Tech - Tech'!K$11,IF($F87="CB",'Fleet Tech - Tech'!K$15,IF($F87="AE",'Fleet Tech - Tech'!K$16,IF($F87="IX",'Fleet Tech - Tech'!K$17,IF($F87="BM",'Fleet Tech - Tech'!K$13,IF($F87="AR",'Fleet Tech - Tech'!K$12,IF($F87="SSV",'Fleet Tech - Tech'!K$14,"nil"))))))))))))))),0)</f>
        <v>0</v>
      </c>
      <c r="BE87" s="12">
        <f>IF($H87=3,IF(OR($F87="DDV",$F87="DDG",$F87="DD"),'Fleet Tech - Tech'!L$3,IF($F87="CL",'Fleet Tech - Tech'!L$4,IF($F87="CA",'Fleet Tech - Tech'!L$5,IF($F87="BC",'Fleet Tech - Tech'!L$6,IF($F87="BB",'Fleet Tech - Tech'!L$7,IF($F87="CVL",'Fleet Tech - Tech'!L$8,IF($F87="CV",'Fleet Tech - Tech'!L$9,IF($F87="SS",'Fleet Tech - Tech'!L$10,IF($F87="BBV",'Fleet Tech - Tech'!L$11,IF($F87="CB",'Fleet Tech - Tech'!L$15,IF($F87="AE",'Fleet Tech - Tech'!L$16,IF($F87="IX",'Fleet Tech - Tech'!L$17,IF($F87="BM",'Fleet Tech - Tech'!L$13,IF($F87="AR",'Fleet Tech - Tech'!L$12,IF($F87="SSV",'Fleet Tech - Tech'!L$14,"nil"))))))))))))))),0)</f>
        <v>0</v>
      </c>
      <c r="BF87" s="12">
        <f>IF($H87=3,IF(OR($F87="DDV",$F87="DDG",$F87="DD"),'Fleet Tech - Tech'!M$3,IF($F87="CL",'Fleet Tech - Tech'!M$4,IF($F87="CA",'Fleet Tech - Tech'!M$5,IF($F87="BC",'Fleet Tech - Tech'!M$6,IF($F87="BB",'Fleet Tech - Tech'!M$7,IF($F87="CVL",'Fleet Tech - Tech'!M$8,IF($F87="CV",'Fleet Tech - Tech'!M$9,IF($F87="SS",'Fleet Tech - Tech'!M$10,IF($F87="BBV",'Fleet Tech - Tech'!M$11,IF($F87="CB",'Fleet Tech - Tech'!M$15,IF($F87="AE",'Fleet Tech - Tech'!M$16,IF($F87="IX",'Fleet Tech - Tech'!M$17,IF($F87="BM",'Fleet Tech - Tech'!M$13,IF($F87="AR",'Fleet Tech - Tech'!M$12,IF($F87="SSV",'Fleet Tech - Tech'!M$14,"nil"))))))))))))))),0)</f>
        <v>0</v>
      </c>
      <c r="BG87" s="12">
        <f>IF($H87=3,IF(OR($F87="DDV",$F87="DDG",$F87="DD"),'Fleet Tech - Tech'!N$3,IF($F87="CL",'Fleet Tech - Tech'!N$4,IF($F87="CA",'Fleet Tech - Tech'!N$5,IF($F87="BC",'Fleet Tech - Tech'!N$6,IF($F87="BB",'Fleet Tech - Tech'!N$7,IF($F87="CVL",'Fleet Tech - Tech'!N$8,IF($F87="CV",'Fleet Tech - Tech'!N$9,IF($F87="SS",'Fleet Tech - Tech'!N$10,IF($F87="BBV",'Fleet Tech - Tech'!N$11,IF($F87="CB",'Fleet Tech - Tech'!N$15,IF($F87="AE",'Fleet Tech - Tech'!N$16,IF($F87="IX",'Fleet Tech - Tech'!N$17,IF($F87="BM",'Fleet Tech - Tech'!N$13,IF($F87="AR",'Fleet Tech - Tech'!N$12,IF($F87="SSV",'Fleet Tech - Tech'!N$14,"nil"))))))))))))))),0)</f>
        <v>0</v>
      </c>
      <c r="BH87" s="28"/>
      <c r="BI87" s="12">
        <v>3654</v>
      </c>
      <c r="BJ87" s="12">
        <v>175</v>
      </c>
      <c r="BK87" s="12">
        <v>111</v>
      </c>
      <c r="BL87" s="28"/>
      <c r="BM87" s="12">
        <v>72</v>
      </c>
      <c r="BN87" s="28"/>
      <c r="BO87" s="28"/>
      <c r="BP87" s="28"/>
      <c r="BQ87" s="12">
        <v>21</v>
      </c>
      <c r="BR87" s="12">
        <v>9</v>
      </c>
      <c r="BS87" s="12">
        <v>67</v>
      </c>
      <c r="BT87" s="12">
        <v>12</v>
      </c>
      <c r="BU87" s="12">
        <v>39</v>
      </c>
      <c r="BV87" s="12">
        <v>355</v>
      </c>
      <c r="BW87" s="28"/>
      <c r="BX87" s="12">
        <v>3</v>
      </c>
      <c r="BY87" s="12">
        <v>1</v>
      </c>
      <c r="BZ87" s="12">
        <v>2</v>
      </c>
      <c r="CA87" s="12">
        <v>3</v>
      </c>
      <c r="CB87" s="12">
        <v>2</v>
      </c>
      <c r="CC87" s="12">
        <v>2</v>
      </c>
      <c r="CD87" s="12">
        <v>1</v>
      </c>
      <c r="CE87" s="12">
        <v>0</v>
      </c>
      <c r="CF87" s="12">
        <v>0</v>
      </c>
      <c r="CG87" s="12">
        <v>0</v>
      </c>
      <c r="CH87" s="12">
        <v>-1</v>
      </c>
      <c r="CI87" s="12">
        <v>-1</v>
      </c>
      <c r="CJ87" s="47"/>
      <c r="CK87" s="48">
        <f>IF(BX87=5,320,IF(BX87=4,195,IF(BX87=3,132,IF(BX87=2,90,IF(BX87=1,58,IF(BX87=-1,0,35))))))</f>
        <v>132</v>
      </c>
      <c r="CL87" s="48">
        <f>IF(BX87=5,20,IF(BX87=4,15,IF(BX87=3,12,IF(BX87=2,10,IF(BX87=1,8,IF(BX87=-1,0,5))))))</f>
        <v>12</v>
      </c>
      <c r="CM87" s="48">
        <f>IF(BZ87=5,320,IF(BZ87=4,195,IF(BZ87=3,132,IF(BZ87=2,90,IF(BZ87=1,58,IF(BZ87=-1,0,35))))))</f>
        <v>90</v>
      </c>
      <c r="CN87" s="48">
        <f>IF(BZ87=5,20,IF(BZ87=4,15,IF(BZ87=3,12,IF(BZ87=2,10,IF(BZ87=1,8,IF(BZ87=-1,0,5))))))</f>
        <v>10</v>
      </c>
      <c r="CO87" s="48">
        <f>IF(CB87=5,320,IF(CB87=4,195,IF(CB87=3,132,IF(CB87=2,90,IF(CB87=1,58,IF(CB87=-1,0,35))))))</f>
        <v>90</v>
      </c>
      <c r="CP87" s="48">
        <f>IF(CB87=5,20,IF(CB87=4,15,IF(CB87=3,12,IF(CB87=2,10,IF(CB87=1,8,IF(CB87=-1,0,5))))))</f>
        <v>10</v>
      </c>
      <c r="CQ87" s="48">
        <f>IF(CD87=5,320,IF(CD87=4,195,IF(CD87=3,132,IF(CD87=2,90,IF(CD87=1,58,IF(CD87=-1,0,35))))))</f>
        <v>58</v>
      </c>
      <c r="CR87" s="48">
        <f>IF(CD87=5,20,IF(CD87=4,15,IF(CD87=3,12,IF(CD87=2,10,IF(CD87=1,8,IF(CD87=-1,0,5))))))</f>
        <v>8</v>
      </c>
      <c r="CS87" s="48">
        <f>IF(CF87=5,320,IF(CF87=4,195,IF(CF87=3,132,IF(CF87=2,90,IF(CF87=1,58,IF(CF87=-1,0,35))))))</f>
        <v>35</v>
      </c>
      <c r="CT87" s="48">
        <f>IF(CF87=5,20,IF(CF87=4,15,IF(CF87=3,12,IF(CF87=2,10,IF(CF87=1,8,IF(CF87=-1,0,5))))))</f>
        <v>5</v>
      </c>
      <c r="CU87" s="48">
        <f>IF(CH87=5,320,IF(CH87=4,195,IF(CH87=3,132,IF(CH87=2,90,IF(CH87=1,58,IF(CH87=-1,0,35))))))</f>
        <v>0</v>
      </c>
      <c r="CV87" s="48">
        <f>IF(CH87=5,20,IF(CH87=4,15,IF(CH87=3,12,IF(CH87=2,10,IF(CH87=1,8,IF(CH87=-1,0,5))))))</f>
        <v>0</v>
      </c>
      <c r="CW87" s="48">
        <f>IF(BY87&gt;10,(BY87/10)-ROUNDDOWN(BY87/10,0),0)+IF(CA87&gt;10,(CA87/10)-ROUNDDOWN(CA87/10,0),0)+IF(CC87&gt;10,(CC87/10)-ROUNDDOWN(CC87/10,0),0)+IF(CE87&gt;10,(CE87/10)-ROUNDDOWN(CE87/10,0),0)+IF(CG87&gt;10,(CG87/10)-ROUNDDOWN(CG87/10,0),0)+IF(CI87&gt;10,(CI87/10)-ROUNDDOWN(CI87/10,0),0)</f>
        <v>0</v>
      </c>
      <c r="CX87" s="48">
        <f>1+(CW87/10)</f>
        <v>1</v>
      </c>
    </row>
    <row r="88" ht="20.05" customHeight="1">
      <c r="A88" t="s" s="43">
        <v>367</v>
      </c>
      <c r="B88" s="49"/>
      <c r="C88" t="s" s="45">
        <v>73</v>
      </c>
      <c r="D88" s="13">
        <v>7</v>
      </c>
      <c r="E88" t="s" s="15">
        <v>240</v>
      </c>
      <c r="F88" t="s" s="15">
        <v>241</v>
      </c>
      <c r="G88" t="s" s="15">
        <v>282</v>
      </c>
      <c r="H88" s="12">
        <v>1</v>
      </c>
      <c r="I88" t="s" s="15">
        <v>277</v>
      </c>
      <c r="J88" s="12">
        <v>43</v>
      </c>
      <c r="K88" t="s" s="14">
        <v>242</v>
      </c>
      <c r="L88" t="s" s="15">
        <v>265</v>
      </c>
      <c r="M88" t="s" s="15">
        <v>27</v>
      </c>
      <c r="N88" s="46">
        <f>ROUND((SUM(AA88,T88:Y88,AC88:AE88,Z88*10)-AB88*15)*(IF(K88="Heavy",0.15,IF(K88="Medium",0,IF(K88="Light",-0.15,10)))+1),0)</f>
        <v>384</v>
      </c>
      <c r="O88" s="46">
        <v>1101</v>
      </c>
      <c r="P88" s="46">
        <f>ROUNDDOWN((BI88+AU88+AG88)/5,0)+(BJ88+AV88+AH88)+(BN88+AZ88+AL88)+(BO88+BA88+AM88)+(BK88+AW88+AI88)+(BS88+BE88+AQ88)+(BL88+AX88+AJ88)+(BQ88+BC88+AO88)+(2*((BT88+BF88+AR88)+(BU88+BG88+AS88)))+(CK88+CM88+CO88+CQ88+CS88+CU88)+(CL88*BY88)+(CN88*CA88)+(CP88+CC88)+(CR88+CE88)+(CT88+CG88)+(CV88+CI88)+BV88</f>
        <v>1458</v>
      </c>
      <c r="Q88" s="46">
        <f>ROUNDDOWN(((S88/5)+T88+X88+Y88+U88+AC88+V88+AA88+(2*(AD88+AE88))+CK88+CM88+CO88+CQ88+CS88+CU88+(CL88*BX88)+(CN88*BZ88)+(CP88*CB88)+(CR88*CD88)+(CT88*CF88)+(CV88*CH88))*CX88,0)</f>
        <v>1109</v>
      </c>
      <c r="R88" s="46">
        <f>ROUNDDOWN(AVERAGE(P88:Q88),0)</f>
        <v>1283</v>
      </c>
      <c r="S88" s="12">
        <f>AG88+AU88+BI88</f>
        <v>2295</v>
      </c>
      <c r="T88" s="12">
        <f>AH88+AV88+BJ88</f>
        <v>0</v>
      </c>
      <c r="U88" s="12">
        <f>AI88+AW88+BK88</f>
        <v>128</v>
      </c>
      <c r="V88" s="12">
        <f>AJ88+AX88+BL88</f>
        <v>0</v>
      </c>
      <c r="W88" s="12">
        <f>AK88+AY88+BM88</f>
        <v>39</v>
      </c>
      <c r="X88" s="12">
        <f>AL88+AZ88+BN88</f>
        <v>0</v>
      </c>
      <c r="Y88" s="12">
        <f>AM88+BA88+BO88</f>
        <v>138</v>
      </c>
      <c r="Z88" s="12">
        <f>AN88+BB88+BP88</f>
        <v>0</v>
      </c>
      <c r="AA88" s="12">
        <f>AO88+BC88+BQ88</f>
        <v>32</v>
      </c>
      <c r="AB88" s="12">
        <f>AP88+BD88+BR88</f>
        <v>6</v>
      </c>
      <c r="AC88" s="12">
        <f>AQ88+BE88+BS88</f>
        <v>58</v>
      </c>
      <c r="AD88" s="12">
        <f>AR88+BF88+BT88</f>
        <v>26</v>
      </c>
      <c r="AE88" s="12">
        <f>AS88+BG88+BU88</f>
        <v>53</v>
      </c>
      <c r="AF88" s="28"/>
      <c r="AG88" s="28"/>
      <c r="AH88" s="28"/>
      <c r="AI88" s="28"/>
      <c r="AJ88" s="28"/>
      <c r="AK88" s="28"/>
      <c r="AL88" s="28"/>
      <c r="AM88" s="12">
        <v>5</v>
      </c>
      <c r="AN88" s="28"/>
      <c r="AO88" s="28"/>
      <c r="AP88" s="28"/>
      <c r="AQ88" s="28"/>
      <c r="AR88" s="28"/>
      <c r="AS88" s="28"/>
      <c r="AT88" s="28"/>
      <c r="AU88" s="12">
        <f>IF($H88=3,IF(OR($F88="DDV",$F88="DDG",$F88="DD"),'Fleet Tech - Tech'!B$3,IF($F88="CL",'Fleet Tech - Tech'!B$4,IF($F88="CA",'Fleet Tech - Tech'!B$5,IF($F88="BC",'Fleet Tech - Tech'!B$6,IF($F88="BB",'Fleet Tech - Tech'!B$7,IF($F88="CVL",'Fleet Tech - Tech'!B$8,IF($F88="CV",'Fleet Tech - Tech'!B$9,IF($F88="SS",'Fleet Tech - Tech'!B$10,IF($F88="BBV",'Fleet Tech - Tech'!B$11,IF($F88="CB",'Fleet Tech - Tech'!B$15,IF($F88="AE",'Fleet Tech - Tech'!B$16,IF($F88="IX",'Fleet Tech - Tech'!B$17,IF($F88="BM",'Fleet Tech - Tech'!B$13,IF($F88="AR",'Fleet Tech - Tech'!B$12,IF($F88="SSV",'Fleet Tech - Tech'!B$14,"nil"))))))))))))))),0)</f>
        <v>0</v>
      </c>
      <c r="AV88" s="12">
        <f>IF($H88=3,IF(OR($F88="DDV",$F88="DDG",$F88="DD"),'Fleet Tech - Tech'!C$3,IF($F88="CL",'Fleet Tech - Tech'!C$4,IF($F88="CA",'Fleet Tech - Tech'!C$5,IF($F88="BC",'Fleet Tech - Tech'!C$6,IF($F88="BB",'Fleet Tech - Tech'!C$7,IF($F88="CVL",'Fleet Tech - Tech'!C$8,IF($F88="CV",'Fleet Tech - Tech'!C$9,IF($F88="SS",'Fleet Tech - Tech'!C$10,IF($F88="BBV",'Fleet Tech - Tech'!C$11,IF($F88="CB",'Fleet Tech - Tech'!C$15,IF($F88="AE",'Fleet Tech - Tech'!C$16,IF($F88="IX",'Fleet Tech - Tech'!C$17,IF($F88="BM",'Fleet Tech - Tech'!C$13,IF($F88="AR",'Fleet Tech - Tech'!C$12,IF($F88="SSV",'Fleet Tech - Tech'!C$14,"nil"))))))))))))))),0)</f>
        <v>0</v>
      </c>
      <c r="AW88" s="12">
        <f>IF($H88=3,IF(OR($F88="DDV",$F88="DDG",$F88="DD"),'Fleet Tech - Tech'!D$3,IF($F88="CL",'Fleet Tech - Tech'!D$4,IF($F88="CA",'Fleet Tech - Tech'!D$5,IF($F88="BC",'Fleet Tech - Tech'!D$6,IF($F88="BB",'Fleet Tech - Tech'!D$7,IF($F88="CVL",'Fleet Tech - Tech'!D$8,IF($F88="CV",'Fleet Tech - Tech'!D$9,IF($F88="SS",'Fleet Tech - Tech'!D$10,IF($F88="BBV",'Fleet Tech - Tech'!D$11,IF($F88="CB",'Fleet Tech - Tech'!D$15,IF($F88="AE",'Fleet Tech - Tech'!D$16,IF($F88="IX",'Fleet Tech - Tech'!D$17,IF($F88="BM",'Fleet Tech - Tech'!D$13,IF($F88="AR",'Fleet Tech - Tech'!D$12,IF($F88="SSV",'Fleet Tech - Tech'!D$14,"nil"))))))))))))))),0)</f>
        <v>0</v>
      </c>
      <c r="AX88" s="12">
        <f>IF($H88=3,IF(OR($F88="DDV",$F88="DDG",$F88="DD"),'Fleet Tech - Tech'!E$3,IF($F88="CL",'Fleet Tech - Tech'!E$4,IF($F88="CA",'Fleet Tech - Tech'!E$5,IF($F88="BC",'Fleet Tech - Tech'!E$6,IF($F88="BB",'Fleet Tech - Tech'!E$7,IF($F88="CVL",'Fleet Tech - Tech'!E$8,IF($F88="CV",'Fleet Tech - Tech'!E$9,IF($F88="SS",'Fleet Tech - Tech'!E$10,IF($F88="BBV",'Fleet Tech - Tech'!E$11,IF($F88="CB",'Fleet Tech - Tech'!E$15,IF($F88="AE",'Fleet Tech - Tech'!E$16,IF($F88="IX",'Fleet Tech - Tech'!E$17,IF($F88="BM",'Fleet Tech - Tech'!E$13,IF($F88="AR",'Fleet Tech - Tech'!E$12,IF($F88="SSV",'Fleet Tech - Tech'!E$14,"nil"))))))))))))))),0)</f>
        <v>0</v>
      </c>
      <c r="AY88" s="12">
        <f>IF($H88=3,IF(OR($F88="DDV",$F88="DDG",$F88="DD"),'Fleet Tech - Tech'!F$3,IF($F88="CL",'Fleet Tech - Tech'!F$4,IF($F88="CA",'Fleet Tech - Tech'!F$5,IF($F88="BC",'Fleet Tech - Tech'!F$6,IF($F88="BB",'Fleet Tech - Tech'!F$7,IF($F88="CVL",'Fleet Tech - Tech'!F$8,IF($F88="CV",'Fleet Tech - Tech'!F$9,IF($F88="SS",'Fleet Tech - Tech'!F$10,IF($F88="BBV",'Fleet Tech - Tech'!F$11,IF($F88="CB",'Fleet Tech - Tech'!F$15,IF($F88="AE",'Fleet Tech - Tech'!F$16,IF($F88="IX",'Fleet Tech - Tech'!F$17,IF($F88="BM",'Fleet Tech - Tech'!F$13,IF($F88="AR",'Fleet Tech - Tech'!F$12,IF($F88="SSV",'Fleet Tech - Tech'!F$14,"nil"))))))))))))))),0)</f>
        <v>0</v>
      </c>
      <c r="AZ88" s="12">
        <f>IF($H88=3,IF(OR($F88="DDV",$F88="DDG",$F88="DD"),'Fleet Tech - Tech'!G$3,IF($F88="CL",'Fleet Tech - Tech'!G$4,IF($F88="CA",'Fleet Tech - Tech'!G$5,IF($F88="BC",'Fleet Tech - Tech'!G$6,IF($F88="BB",'Fleet Tech - Tech'!G$7,IF($F88="CVL",'Fleet Tech - Tech'!G$8,IF($F88="CV",'Fleet Tech - Tech'!G$9,IF($F88="SS",'Fleet Tech - Tech'!G$10,IF($F88="BBV",'Fleet Tech - Tech'!G$11,IF($F88="CB",'Fleet Tech - Tech'!G$15,IF($F88="AE",'Fleet Tech - Tech'!G$16,IF($F88="IX",'Fleet Tech - Tech'!G$17,IF($F88="BM",'Fleet Tech - Tech'!G$13,IF($F88="AR",'Fleet Tech - Tech'!G$12,IF($F88="SSV",'Fleet Tech - Tech'!G$14,"nil"))))))))))))))),0)</f>
        <v>0</v>
      </c>
      <c r="BA88" s="12">
        <f>IF($H88=3,IF(OR($F88="DDV",$F88="DDG",$F88="DD"),'Fleet Tech - Tech'!H$3,IF($F88="CL",'Fleet Tech - Tech'!H$4,IF($F88="CA",'Fleet Tech - Tech'!H$5,IF($F88="BC",'Fleet Tech - Tech'!H$6,IF($F88="BB",'Fleet Tech - Tech'!H$7,IF($F88="CVL",'Fleet Tech - Tech'!H$8,IF($F88="CV",'Fleet Tech - Tech'!H$9,IF($F88="SS",'Fleet Tech - Tech'!H$10,IF($F88="BBV",'Fleet Tech - Tech'!H$11,IF($F88="CB",'Fleet Tech - Tech'!H$15,IF($F88="AE",'Fleet Tech - Tech'!H$16,IF($F88="IX",'Fleet Tech - Tech'!H$17,IF($F88="BM",'Fleet Tech - Tech'!H$13,IF($F88="AR",'Fleet Tech - Tech'!H$12,IF($F88="SSV",'Fleet Tech - Tech'!H$14,"nil"))))))))))))))),0)</f>
        <v>0</v>
      </c>
      <c r="BB88" s="12">
        <f>IF($H88=3,IF(OR($F88="DDV",$F88="DDG",$F88="DD"),'Fleet Tech - Tech'!I$3,IF($F88="CL",'Fleet Tech - Tech'!I$4,IF($F88="CA",'Fleet Tech - Tech'!I$5,IF($F88="BC",'Fleet Tech - Tech'!I$6,IF($F88="BB",'Fleet Tech - Tech'!I$7,IF($F88="CVL",'Fleet Tech - Tech'!I$8,IF($F88="CV",'Fleet Tech - Tech'!I$9,IF($F88="SS",'Fleet Tech - Tech'!I$10,IF($F88="BBV",'Fleet Tech - Tech'!I$11,IF($F88="CB",'Fleet Tech - Tech'!I$15,IF($F88="AE",'Fleet Tech - Tech'!I$16,IF($F88="IX",'Fleet Tech - Tech'!I$17,IF($F88="BM",'Fleet Tech - Tech'!I$13,IF($F88="AR",'Fleet Tech - Tech'!I$12,IF($F88="SSV",'Fleet Tech - Tech'!I$14,"nil"))))))))))))))),0)</f>
        <v>0</v>
      </c>
      <c r="BC88" s="12">
        <f>IF($H88=3,IF(OR($F88="DDV",$F88="DDG",$F88="DD"),'Fleet Tech - Tech'!J$3,IF($F88="CL",'Fleet Tech - Tech'!J$4,IF($F88="CA",'Fleet Tech - Tech'!J$5,IF($F88="BC",'Fleet Tech - Tech'!J$6,IF($F88="BB",'Fleet Tech - Tech'!J$7,IF($F88="CVL",'Fleet Tech - Tech'!J$8,IF($F88="CV",'Fleet Tech - Tech'!J$9,IF($F88="SS",'Fleet Tech - Tech'!J$10,IF($F88="BBV",'Fleet Tech - Tech'!J$11,IF($F88="CB",'Fleet Tech - Tech'!J$15,IF($F88="AE",'Fleet Tech - Tech'!J$16,IF($F88="IX",'Fleet Tech - Tech'!J$17,IF($F88="BM",'Fleet Tech - Tech'!J$13,IF($F88="AR",'Fleet Tech - Tech'!J$12,IF($F88="SSV",'Fleet Tech - Tech'!J$14,"nil"))))))))))))))),0)</f>
        <v>0</v>
      </c>
      <c r="BD88" s="12">
        <f>IF($H88=3,IF(OR($F88="DDV",$F88="DDG",$F88="DD"),'Fleet Tech - Tech'!K$3,IF($F88="CL",'Fleet Tech - Tech'!K$4,IF($F88="CA",'Fleet Tech - Tech'!K$5,IF($F88="BC",'Fleet Tech - Tech'!K$6,IF($F88="BB",'Fleet Tech - Tech'!K$7,IF($F88="CVL",'Fleet Tech - Tech'!K$8,IF($F88="CV",'Fleet Tech - Tech'!K$9,IF($F88="SS",'Fleet Tech - Tech'!K$10,IF($F88="BBV",'Fleet Tech - Tech'!K$11,IF($F88="CB",'Fleet Tech - Tech'!K$15,IF($F88="AE",'Fleet Tech - Tech'!K$16,IF($F88="IX",'Fleet Tech - Tech'!K$17,IF($F88="BM",'Fleet Tech - Tech'!K$13,IF($F88="AR",'Fleet Tech - Tech'!K$12,IF($F88="SSV",'Fleet Tech - Tech'!K$14,"nil"))))))))))))))),0)</f>
        <v>0</v>
      </c>
      <c r="BE88" s="12">
        <f>IF($H88=3,IF(OR($F88="DDV",$F88="DDG",$F88="DD"),'Fleet Tech - Tech'!L$3,IF($F88="CL",'Fleet Tech - Tech'!L$4,IF($F88="CA",'Fleet Tech - Tech'!L$5,IF($F88="BC",'Fleet Tech - Tech'!L$6,IF($F88="BB",'Fleet Tech - Tech'!L$7,IF($F88="CVL",'Fleet Tech - Tech'!L$8,IF($F88="CV",'Fleet Tech - Tech'!L$9,IF($F88="SS",'Fleet Tech - Tech'!L$10,IF($F88="BBV",'Fleet Tech - Tech'!L$11,IF($F88="CB",'Fleet Tech - Tech'!L$15,IF($F88="AE",'Fleet Tech - Tech'!L$16,IF($F88="IX",'Fleet Tech - Tech'!L$17,IF($F88="BM",'Fleet Tech - Tech'!L$13,IF($F88="AR",'Fleet Tech - Tech'!L$12,IF($F88="SSV",'Fleet Tech - Tech'!L$14,"nil"))))))))))))))),0)</f>
        <v>0</v>
      </c>
      <c r="BF88" s="12">
        <f>IF($H88=3,IF(OR($F88="DDV",$F88="DDG",$F88="DD"),'Fleet Tech - Tech'!M$3,IF($F88="CL",'Fleet Tech - Tech'!M$4,IF($F88="CA",'Fleet Tech - Tech'!M$5,IF($F88="BC",'Fleet Tech - Tech'!M$6,IF($F88="BB",'Fleet Tech - Tech'!M$7,IF($F88="CVL",'Fleet Tech - Tech'!M$8,IF($F88="CV",'Fleet Tech - Tech'!M$9,IF($F88="SS",'Fleet Tech - Tech'!M$10,IF($F88="BBV",'Fleet Tech - Tech'!M$11,IF($F88="CB",'Fleet Tech - Tech'!M$15,IF($F88="AE",'Fleet Tech - Tech'!M$16,IF($F88="IX",'Fleet Tech - Tech'!M$17,IF($F88="BM",'Fleet Tech - Tech'!M$13,IF($F88="AR",'Fleet Tech - Tech'!M$12,IF($F88="SSV",'Fleet Tech - Tech'!M$14,"nil"))))))))))))))),0)</f>
        <v>0</v>
      </c>
      <c r="BG88" s="12">
        <f>IF($H88=3,IF(OR($F88="DDV",$F88="DDG",$F88="DD"),'Fleet Tech - Tech'!N$3,IF($F88="CL",'Fleet Tech - Tech'!N$4,IF($F88="CA",'Fleet Tech - Tech'!N$5,IF($F88="BC",'Fleet Tech - Tech'!N$6,IF($F88="BB",'Fleet Tech - Tech'!N$7,IF($F88="CVL",'Fleet Tech - Tech'!N$8,IF($F88="CV",'Fleet Tech - Tech'!N$9,IF($F88="SS",'Fleet Tech - Tech'!N$10,IF($F88="BBV",'Fleet Tech - Tech'!N$11,IF($F88="CB",'Fleet Tech - Tech'!N$15,IF($F88="AE",'Fleet Tech - Tech'!N$16,IF($F88="IX",'Fleet Tech - Tech'!N$17,IF($F88="BM",'Fleet Tech - Tech'!N$13,IF($F88="AR",'Fleet Tech - Tech'!N$12,IF($F88="SSV",'Fleet Tech - Tech'!N$14,"nil"))))))))))))))),0)</f>
        <v>0</v>
      </c>
      <c r="BH88" s="28"/>
      <c r="BI88" s="12">
        <v>2295</v>
      </c>
      <c r="BJ88" s="28"/>
      <c r="BK88" s="12">
        <v>128</v>
      </c>
      <c r="BL88" s="28"/>
      <c r="BM88" s="12">
        <v>39</v>
      </c>
      <c r="BN88" s="28"/>
      <c r="BO88" s="12">
        <v>133</v>
      </c>
      <c r="BP88" s="28"/>
      <c r="BQ88" s="12">
        <v>32</v>
      </c>
      <c r="BR88" s="12">
        <v>6</v>
      </c>
      <c r="BS88" s="12">
        <v>58</v>
      </c>
      <c r="BT88" s="12">
        <v>26</v>
      </c>
      <c r="BU88" s="12">
        <v>53</v>
      </c>
      <c r="BV88" s="12">
        <v>355</v>
      </c>
      <c r="BW88" s="28"/>
      <c r="BX88" s="12">
        <v>1</v>
      </c>
      <c r="BY88" s="12">
        <v>0</v>
      </c>
      <c r="BZ88" s="12">
        <v>0</v>
      </c>
      <c r="CA88" s="12">
        <v>0</v>
      </c>
      <c r="CB88" s="12">
        <v>0</v>
      </c>
      <c r="CC88" s="12">
        <v>0</v>
      </c>
      <c r="CD88" s="12">
        <v>-1</v>
      </c>
      <c r="CE88" s="12">
        <v>-1</v>
      </c>
      <c r="CF88" s="12">
        <v>-1</v>
      </c>
      <c r="CG88" s="12">
        <v>-1</v>
      </c>
      <c r="CH88" s="12">
        <v>-1</v>
      </c>
      <c r="CI88" s="12">
        <v>-1</v>
      </c>
      <c r="CJ88" s="47"/>
      <c r="CK88" s="48">
        <f>IF(BX88=5,320,IF(BX88=4,195,IF(BX88=3,132,IF(BX88=2,90,IF(BX88=1,58,IF(BX88=-1,0,35))))))</f>
        <v>58</v>
      </c>
      <c r="CL88" s="48">
        <f>IF(BX88=5,20,IF(BX88=4,15,IF(BX88=3,12,IF(BX88=2,10,IF(BX88=1,8,IF(BX88=-1,0,5))))))</f>
        <v>8</v>
      </c>
      <c r="CM88" s="48">
        <f>IF(BZ88=5,320,IF(BZ88=4,195,IF(BZ88=3,132,IF(BZ88=2,90,IF(BZ88=1,58,IF(BZ88=-1,0,35))))))</f>
        <v>35</v>
      </c>
      <c r="CN88" s="48">
        <f>IF(BZ88=5,20,IF(BZ88=4,15,IF(BZ88=3,12,IF(BZ88=2,10,IF(BZ88=1,8,IF(BZ88=-1,0,5))))))</f>
        <v>5</v>
      </c>
      <c r="CO88" s="48">
        <f>IF(CB88=5,320,IF(CB88=4,195,IF(CB88=3,132,IF(CB88=2,90,IF(CB88=1,58,IF(CB88=-1,0,35))))))</f>
        <v>35</v>
      </c>
      <c r="CP88" s="48">
        <f>IF(CB88=5,20,IF(CB88=4,15,IF(CB88=3,12,IF(CB88=2,10,IF(CB88=1,8,IF(CB88=-1,0,5))))))</f>
        <v>5</v>
      </c>
      <c r="CQ88" s="48">
        <f>IF(CD88=5,320,IF(CD88=4,195,IF(CD88=3,132,IF(CD88=2,90,IF(CD88=1,58,IF(CD88=-1,0,35))))))</f>
        <v>0</v>
      </c>
      <c r="CR88" s="48">
        <f>IF(CD88=5,20,IF(CD88=4,15,IF(CD88=3,12,IF(CD88=2,10,IF(CD88=1,8,IF(CD88=-1,0,5))))))</f>
        <v>0</v>
      </c>
      <c r="CS88" s="48">
        <f>IF(CF88=5,320,IF(CF88=4,195,IF(CF88=3,132,IF(CF88=2,90,IF(CF88=1,58,IF(CF88=-1,0,35))))))</f>
        <v>0</v>
      </c>
      <c r="CT88" s="48">
        <f>IF(CF88=5,20,IF(CF88=4,15,IF(CF88=3,12,IF(CF88=2,10,IF(CF88=1,8,IF(CF88=-1,0,5))))))</f>
        <v>0</v>
      </c>
      <c r="CU88" s="48">
        <f>IF(CH88=5,320,IF(CH88=4,195,IF(CH88=3,132,IF(CH88=2,90,IF(CH88=1,58,IF(CH88=-1,0,35))))))</f>
        <v>0</v>
      </c>
      <c r="CV88" s="48">
        <f>IF(CH88=5,20,IF(CH88=4,15,IF(CH88=3,12,IF(CH88=2,10,IF(CH88=1,8,IF(CH88=-1,0,5))))))</f>
        <v>0</v>
      </c>
      <c r="CW88" s="48">
        <f>IF(BY88&gt;10,(BY88/10)-ROUNDDOWN(BY88/10,0),0)+IF(CA88&gt;10,(CA88/10)-ROUNDDOWN(CA88/10,0),0)+IF(CC88&gt;10,(CC88/10)-ROUNDDOWN(CC88/10,0),0)+IF(CE88&gt;10,(CE88/10)-ROUNDDOWN(CE88/10,0),0)+IF(CG88&gt;10,(CG88/10)-ROUNDDOWN(CG88/10,0),0)+IF(CI88&gt;10,(CI88/10)-ROUNDDOWN(CI88/10,0),0)</f>
        <v>0</v>
      </c>
      <c r="CX88" s="48">
        <f>1+(CW88/10)</f>
        <v>1</v>
      </c>
    </row>
    <row r="89" ht="20.05" customHeight="1">
      <c r="A89" t="s" s="43">
        <v>368</v>
      </c>
      <c r="B89" s="49"/>
      <c r="C89" t="s" s="45">
        <v>73</v>
      </c>
      <c r="D89" s="13">
        <v>7</v>
      </c>
      <c r="E89" t="s" s="15">
        <v>232</v>
      </c>
      <c r="F89" t="s" s="15">
        <v>284</v>
      </c>
      <c r="G89" t="s" s="15">
        <v>282</v>
      </c>
      <c r="H89" s="12">
        <v>0</v>
      </c>
      <c r="I89" t="s" s="15">
        <v>277</v>
      </c>
      <c r="J89" s="12">
        <v>41</v>
      </c>
      <c r="K89" t="s" s="14">
        <v>236</v>
      </c>
      <c r="L89" t="s" s="15">
        <v>237</v>
      </c>
      <c r="M89" t="s" s="15">
        <v>19</v>
      </c>
      <c r="N89" s="46">
        <f>ROUND((SUM(AA89,T89:Y89,AC89:AE89,Z89*10)-AB89*15)*(IF(K89="Heavy",0.15,IF(K89="Medium",0,IF(K89="Light",-0.15,10)))+1),0)</f>
        <v>569</v>
      </c>
      <c r="O89" s="46">
        <v>1220</v>
      </c>
      <c r="P89" s="46">
        <f>ROUNDDOWN((BI89+AU89+AG89)/5,0)+(BJ89+AV89+AH89)+(BN89+AZ89+AL89)+(BO89+BA89+AM89)+(BK89+AW89+AI89)+(BS89+BE89+AQ89)+(BL89+AX89+AJ89)+(BQ89+BC89+AO89)+(2*((BT89+BF89+AR89)+(BU89+BG89+AS89)))+(CK89+CM89+CO89+CQ89+CS89+CU89)+(CL89*BY89)+(CN89*CA89)+(CP89+CC89)+(CR89+CE89)+(CT89+CG89)+(CV89+CI89)+BV89</f>
        <v>1550</v>
      </c>
      <c r="Q89" s="46">
        <f>ROUNDDOWN(((S89/5)+T89+X89+Y89+U89+AC89+V89+AA89+(2*(AD89+AE89))+CK89+CM89+CO89+CQ89+CS89+CU89+(CL89*BX89)+(CN89*BZ89)+(CP89*CB89)+(CR89*CD89)+(CT89*CF89)+(CV89*CH89))*CX89,0)</f>
        <v>1259</v>
      </c>
      <c r="R89" s="46">
        <f>ROUNDDOWN(AVERAGE(P89:Q89),0)</f>
        <v>1404</v>
      </c>
      <c r="S89" s="12">
        <f>AG89+AU89+BI89</f>
        <v>843</v>
      </c>
      <c r="T89" s="12">
        <f>AH89+AV89+BJ89</f>
        <v>25</v>
      </c>
      <c r="U89" s="12">
        <f>AI89+AW89+BK89</f>
        <v>77</v>
      </c>
      <c r="V89" s="12">
        <f>AJ89+AX89+BL89</f>
        <v>71</v>
      </c>
      <c r="W89" s="12">
        <f>AK89+AY89+BM89</f>
        <v>65</v>
      </c>
      <c r="X89" s="12">
        <f>AL89+AZ89+BN89</f>
        <v>117</v>
      </c>
      <c r="Y89" s="12">
        <f>AM89+BA89+BO89</f>
        <v>0</v>
      </c>
      <c r="Z89" s="12">
        <f>AN89+BB89+BP89</f>
        <v>0</v>
      </c>
      <c r="AA89" s="12">
        <f>AO89+BC89+BQ89</f>
        <v>39</v>
      </c>
      <c r="AB89" s="12">
        <f>AP89+BD89+BR89</f>
        <v>3</v>
      </c>
      <c r="AC89" s="12">
        <f>AQ89+BE89+BS89</f>
        <v>98</v>
      </c>
      <c r="AD89" s="12">
        <f>AR89+BF89+BT89</f>
        <v>116</v>
      </c>
      <c r="AE89" s="12">
        <f>AS89+BG89+BU89</f>
        <v>106</v>
      </c>
      <c r="AF89" s="28"/>
      <c r="AG89" s="12">
        <v>0</v>
      </c>
      <c r="AH89" s="12">
        <v>4</v>
      </c>
      <c r="AI89" s="12">
        <v>8</v>
      </c>
      <c r="AJ89" s="12">
        <v>0</v>
      </c>
      <c r="AK89" s="12">
        <v>0</v>
      </c>
      <c r="AL89" s="12">
        <v>12</v>
      </c>
      <c r="AM89" s="12">
        <v>0</v>
      </c>
      <c r="AN89" s="12">
        <v>0</v>
      </c>
      <c r="AO89" s="12">
        <v>0</v>
      </c>
      <c r="AP89" s="12">
        <v>0</v>
      </c>
      <c r="AQ89" s="12">
        <v>0</v>
      </c>
      <c r="AR89" s="12">
        <v>0</v>
      </c>
      <c r="AS89" s="12">
        <v>0</v>
      </c>
      <c r="AT89" s="28"/>
      <c r="AU89" s="12">
        <f>IF($H89=3,IF(OR($F89="DDV",$F89="DDG",$F89="DD"),'Fleet Tech - Tech'!B$3,IF($F89="CL",'Fleet Tech - Tech'!B$4,IF($F89="CA",'Fleet Tech - Tech'!B$5,IF($F89="BC",'Fleet Tech - Tech'!B$6,IF($F89="BB",'Fleet Tech - Tech'!B$7,IF($F89="CVL",'Fleet Tech - Tech'!B$8,IF($F89="CV",'Fleet Tech - Tech'!B$9,IF($F89="SS",'Fleet Tech - Tech'!B$10,IF($F89="BBV",'Fleet Tech - Tech'!B$11,IF($F89="CB",'Fleet Tech - Tech'!B$15,IF($F89="AE",'Fleet Tech - Tech'!B$16,IF($F89="IX",'Fleet Tech - Tech'!B$17,IF($F89="BM",'Fleet Tech - Tech'!B$13,IF($F89="AR",'Fleet Tech - Tech'!B$12,IF($F89="SSV",'Fleet Tech - Tech'!B$14,"nil"))))))))))))))),0)</f>
        <v>0</v>
      </c>
      <c r="AV89" s="12">
        <f>IF($H89=3,IF(OR($F89="DDV",$F89="DDG",$F89="DD"),'Fleet Tech - Tech'!C$3,IF($F89="CL",'Fleet Tech - Tech'!C$4,IF($F89="CA",'Fleet Tech - Tech'!C$5,IF($F89="BC",'Fleet Tech - Tech'!C$6,IF($F89="BB",'Fleet Tech - Tech'!C$7,IF($F89="CVL",'Fleet Tech - Tech'!C$8,IF($F89="CV",'Fleet Tech - Tech'!C$9,IF($F89="SS",'Fleet Tech - Tech'!C$10,IF($F89="BBV",'Fleet Tech - Tech'!C$11,IF($F89="CB",'Fleet Tech - Tech'!C$15,IF($F89="AE",'Fleet Tech - Tech'!C$16,IF($F89="IX",'Fleet Tech - Tech'!C$17,IF($F89="BM",'Fleet Tech - Tech'!C$13,IF($F89="AR",'Fleet Tech - Tech'!C$12,IF($F89="SSV",'Fleet Tech - Tech'!C$14,"nil"))))))))))))))),0)</f>
        <v>0</v>
      </c>
      <c r="AW89" s="12">
        <f>IF($H89=3,IF(OR($F89="DDV",$F89="DDG",$F89="DD"),'Fleet Tech - Tech'!D$3,IF($F89="CL",'Fleet Tech - Tech'!D$4,IF($F89="CA",'Fleet Tech - Tech'!D$5,IF($F89="BC",'Fleet Tech - Tech'!D$6,IF($F89="BB",'Fleet Tech - Tech'!D$7,IF($F89="CVL",'Fleet Tech - Tech'!D$8,IF($F89="CV",'Fleet Tech - Tech'!D$9,IF($F89="SS",'Fleet Tech - Tech'!D$10,IF($F89="BBV",'Fleet Tech - Tech'!D$11,IF($F89="CB",'Fleet Tech - Tech'!D$15,IF($F89="AE",'Fleet Tech - Tech'!D$16,IF($F89="IX",'Fleet Tech - Tech'!D$17,IF($F89="BM",'Fleet Tech - Tech'!D$13,IF($F89="AR",'Fleet Tech - Tech'!D$12,IF($F89="SSV",'Fleet Tech - Tech'!D$14,"nil"))))))))))))))),0)</f>
        <v>0</v>
      </c>
      <c r="AX89" s="12">
        <f>IF($H89=3,IF(OR($F89="DDV",$F89="DDG",$F89="DD"),'Fleet Tech - Tech'!E$3,IF($F89="CL",'Fleet Tech - Tech'!E$4,IF($F89="CA",'Fleet Tech - Tech'!E$5,IF($F89="BC",'Fleet Tech - Tech'!E$6,IF($F89="BB",'Fleet Tech - Tech'!E$7,IF($F89="CVL",'Fleet Tech - Tech'!E$8,IF($F89="CV",'Fleet Tech - Tech'!E$9,IF($F89="SS",'Fleet Tech - Tech'!E$10,IF($F89="BBV",'Fleet Tech - Tech'!E$11,IF($F89="CB",'Fleet Tech - Tech'!E$15,IF($F89="AE",'Fleet Tech - Tech'!E$16,IF($F89="IX",'Fleet Tech - Tech'!E$17,IF($F89="BM",'Fleet Tech - Tech'!E$13,IF($F89="AR",'Fleet Tech - Tech'!E$12,IF($F89="SSV",'Fleet Tech - Tech'!E$14,"nil"))))))))))))))),0)</f>
        <v>0</v>
      </c>
      <c r="AY89" s="12">
        <f>IF($H89=3,IF(OR($F89="DDV",$F89="DDG",$F89="DD"),'Fleet Tech - Tech'!F$3,IF($F89="CL",'Fleet Tech - Tech'!F$4,IF($F89="CA",'Fleet Tech - Tech'!F$5,IF($F89="BC",'Fleet Tech - Tech'!F$6,IF($F89="BB",'Fleet Tech - Tech'!F$7,IF($F89="CVL",'Fleet Tech - Tech'!F$8,IF($F89="CV",'Fleet Tech - Tech'!F$9,IF($F89="SS",'Fleet Tech - Tech'!F$10,IF($F89="BBV",'Fleet Tech - Tech'!F$11,IF($F89="CB",'Fleet Tech - Tech'!F$15,IF($F89="AE",'Fleet Tech - Tech'!F$16,IF($F89="IX",'Fleet Tech - Tech'!F$17,IF($F89="BM",'Fleet Tech - Tech'!F$13,IF($F89="AR",'Fleet Tech - Tech'!F$12,IF($F89="SSV",'Fleet Tech - Tech'!F$14,"nil"))))))))))))))),0)</f>
        <v>0</v>
      </c>
      <c r="AZ89" s="12">
        <f>IF($H89=3,IF(OR($F89="DDV",$F89="DDG",$F89="DD"),'Fleet Tech - Tech'!G$3,IF($F89="CL",'Fleet Tech - Tech'!G$4,IF($F89="CA",'Fleet Tech - Tech'!G$5,IF($F89="BC",'Fleet Tech - Tech'!G$6,IF($F89="BB",'Fleet Tech - Tech'!G$7,IF($F89="CVL",'Fleet Tech - Tech'!G$8,IF($F89="CV",'Fleet Tech - Tech'!G$9,IF($F89="SS",'Fleet Tech - Tech'!G$10,IF($F89="BBV",'Fleet Tech - Tech'!G$11,IF($F89="CB",'Fleet Tech - Tech'!G$15,IF($F89="AE",'Fleet Tech - Tech'!G$16,IF($F89="IX",'Fleet Tech - Tech'!G$17,IF($F89="BM",'Fleet Tech - Tech'!G$13,IF($F89="AR",'Fleet Tech - Tech'!G$12,IF($F89="SSV",'Fleet Tech - Tech'!G$14,"nil"))))))))))))))),0)</f>
        <v>0</v>
      </c>
      <c r="BA89" s="12">
        <f>IF($H89=3,IF(OR($F89="DDV",$F89="DDG",$F89="DD"),'Fleet Tech - Tech'!H$3,IF($F89="CL",'Fleet Tech - Tech'!H$4,IF($F89="CA",'Fleet Tech - Tech'!H$5,IF($F89="BC",'Fleet Tech - Tech'!H$6,IF($F89="BB",'Fleet Tech - Tech'!H$7,IF($F89="CVL",'Fleet Tech - Tech'!H$8,IF($F89="CV",'Fleet Tech - Tech'!H$9,IF($F89="SS",'Fleet Tech - Tech'!H$10,IF($F89="BBV",'Fleet Tech - Tech'!H$11,IF($F89="CB",'Fleet Tech - Tech'!H$15,IF($F89="AE",'Fleet Tech - Tech'!H$16,IF($F89="IX",'Fleet Tech - Tech'!H$17,IF($F89="BM",'Fleet Tech - Tech'!H$13,IF($F89="AR",'Fleet Tech - Tech'!H$12,IF($F89="SSV",'Fleet Tech - Tech'!H$14,"nil"))))))))))))))),0)</f>
        <v>0</v>
      </c>
      <c r="BB89" s="12">
        <f>IF($H89=3,IF(OR($F89="DDV",$F89="DDG",$F89="DD"),'Fleet Tech - Tech'!I$3,IF($F89="CL",'Fleet Tech - Tech'!I$4,IF($F89="CA",'Fleet Tech - Tech'!I$5,IF($F89="BC",'Fleet Tech - Tech'!I$6,IF($F89="BB",'Fleet Tech - Tech'!I$7,IF($F89="CVL",'Fleet Tech - Tech'!I$8,IF($F89="CV",'Fleet Tech - Tech'!I$9,IF($F89="SS",'Fleet Tech - Tech'!I$10,IF($F89="BBV",'Fleet Tech - Tech'!I$11,IF($F89="CB",'Fleet Tech - Tech'!I$15,IF($F89="AE",'Fleet Tech - Tech'!I$16,IF($F89="IX",'Fleet Tech - Tech'!I$17,IF($F89="BM",'Fleet Tech - Tech'!I$13,IF($F89="AR",'Fleet Tech - Tech'!I$12,IF($F89="SSV",'Fleet Tech - Tech'!I$14,"nil"))))))))))))))),0)</f>
        <v>0</v>
      </c>
      <c r="BC89" s="12">
        <f>IF($H89=3,IF(OR($F89="DDV",$F89="DDG",$F89="DD"),'Fleet Tech - Tech'!J$3,IF($F89="CL",'Fleet Tech - Tech'!J$4,IF($F89="CA",'Fleet Tech - Tech'!J$5,IF($F89="BC",'Fleet Tech - Tech'!J$6,IF($F89="BB",'Fleet Tech - Tech'!J$7,IF($F89="CVL",'Fleet Tech - Tech'!J$8,IF($F89="CV",'Fleet Tech - Tech'!J$9,IF($F89="SS",'Fleet Tech - Tech'!J$10,IF($F89="BBV",'Fleet Tech - Tech'!J$11,IF($F89="CB",'Fleet Tech - Tech'!J$15,IF($F89="AE",'Fleet Tech - Tech'!J$16,IF($F89="IX",'Fleet Tech - Tech'!J$17,IF($F89="BM",'Fleet Tech - Tech'!J$13,IF($F89="AR",'Fleet Tech - Tech'!J$12,IF($F89="SSV",'Fleet Tech - Tech'!J$14,"nil"))))))))))))))),0)</f>
        <v>0</v>
      </c>
      <c r="BD89" s="12">
        <f>IF($H89=3,IF(OR($F89="DDV",$F89="DDG",$F89="DD"),'Fleet Tech - Tech'!K$3,IF($F89="CL",'Fleet Tech - Tech'!K$4,IF($F89="CA",'Fleet Tech - Tech'!K$5,IF($F89="BC",'Fleet Tech - Tech'!K$6,IF($F89="BB",'Fleet Tech - Tech'!K$7,IF($F89="CVL",'Fleet Tech - Tech'!K$8,IF($F89="CV",'Fleet Tech - Tech'!K$9,IF($F89="SS",'Fleet Tech - Tech'!K$10,IF($F89="BBV",'Fleet Tech - Tech'!K$11,IF($F89="CB",'Fleet Tech - Tech'!K$15,IF($F89="AE",'Fleet Tech - Tech'!K$16,IF($F89="IX",'Fleet Tech - Tech'!K$17,IF($F89="BM",'Fleet Tech - Tech'!K$13,IF($F89="AR",'Fleet Tech - Tech'!K$12,IF($F89="SSV",'Fleet Tech - Tech'!K$14,"nil"))))))))))))))),0)</f>
        <v>0</v>
      </c>
      <c r="BE89" s="12">
        <f>IF($H89=3,IF(OR($F89="DDV",$F89="DDG",$F89="DD"),'Fleet Tech - Tech'!L$3,IF($F89="CL",'Fleet Tech - Tech'!L$4,IF($F89="CA",'Fleet Tech - Tech'!L$5,IF($F89="BC",'Fleet Tech - Tech'!L$6,IF($F89="BB",'Fleet Tech - Tech'!L$7,IF($F89="CVL",'Fleet Tech - Tech'!L$8,IF($F89="CV",'Fleet Tech - Tech'!L$9,IF($F89="SS",'Fleet Tech - Tech'!L$10,IF($F89="BBV",'Fleet Tech - Tech'!L$11,IF($F89="CB",'Fleet Tech - Tech'!L$15,IF($F89="AE",'Fleet Tech - Tech'!L$16,IF($F89="IX",'Fleet Tech - Tech'!L$17,IF($F89="BM",'Fleet Tech - Tech'!L$13,IF($F89="AR",'Fleet Tech - Tech'!L$12,IF($F89="SSV",'Fleet Tech - Tech'!L$14,"nil"))))))))))))))),0)</f>
        <v>0</v>
      </c>
      <c r="BF89" s="12">
        <f>IF($H89=3,IF(OR($F89="DDV",$F89="DDG",$F89="DD"),'Fleet Tech - Tech'!M$3,IF($F89="CL",'Fleet Tech - Tech'!M$4,IF($F89="CA",'Fleet Tech - Tech'!M$5,IF($F89="BC",'Fleet Tech - Tech'!M$6,IF($F89="BB",'Fleet Tech - Tech'!M$7,IF($F89="CVL",'Fleet Tech - Tech'!M$8,IF($F89="CV",'Fleet Tech - Tech'!M$9,IF($F89="SS",'Fleet Tech - Tech'!M$10,IF($F89="BBV",'Fleet Tech - Tech'!M$11,IF($F89="CB",'Fleet Tech - Tech'!M$15,IF($F89="AE",'Fleet Tech - Tech'!M$16,IF($F89="IX",'Fleet Tech - Tech'!M$17,IF($F89="BM",'Fleet Tech - Tech'!M$13,IF($F89="AR",'Fleet Tech - Tech'!M$12,IF($F89="SSV",'Fleet Tech - Tech'!M$14,"nil"))))))))))))))),0)</f>
        <v>0</v>
      </c>
      <c r="BG89" s="12">
        <f>IF($H89=3,IF(OR($F89="DDV",$F89="DDG",$F89="DD"),'Fleet Tech - Tech'!N$3,IF($F89="CL",'Fleet Tech - Tech'!N$4,IF($F89="CA",'Fleet Tech - Tech'!N$5,IF($F89="BC",'Fleet Tech - Tech'!N$6,IF($F89="BB",'Fleet Tech - Tech'!N$7,IF($F89="CVL",'Fleet Tech - Tech'!N$8,IF($F89="CV",'Fleet Tech - Tech'!N$9,IF($F89="SS",'Fleet Tech - Tech'!N$10,IF($F89="BBV",'Fleet Tech - Tech'!N$11,IF($F89="CB",'Fleet Tech - Tech'!N$15,IF($F89="AE",'Fleet Tech - Tech'!N$16,IF($F89="IX",'Fleet Tech - Tech'!N$17,IF($F89="BM",'Fleet Tech - Tech'!N$13,IF($F89="AR",'Fleet Tech - Tech'!N$12,IF($F89="SSV",'Fleet Tech - Tech'!N$14,"nil"))))))))))))))),0)</f>
        <v>0</v>
      </c>
      <c r="BH89" s="28"/>
      <c r="BI89" s="12">
        <v>843</v>
      </c>
      <c r="BJ89" s="12">
        <v>21</v>
      </c>
      <c r="BK89" s="12">
        <v>69</v>
      </c>
      <c r="BL89" s="12">
        <v>71</v>
      </c>
      <c r="BM89" s="12">
        <v>65</v>
      </c>
      <c r="BN89" s="12">
        <v>105</v>
      </c>
      <c r="BO89" s="12">
        <v>0</v>
      </c>
      <c r="BP89" s="12">
        <v>0</v>
      </c>
      <c r="BQ89" s="12">
        <v>39</v>
      </c>
      <c r="BR89" s="12">
        <v>3</v>
      </c>
      <c r="BS89" s="12">
        <v>98</v>
      </c>
      <c r="BT89" s="12">
        <v>116</v>
      </c>
      <c r="BU89" s="12">
        <v>106</v>
      </c>
      <c r="BV89" s="12">
        <v>335</v>
      </c>
      <c r="BW89" s="28"/>
      <c r="BX89" s="12">
        <v>2</v>
      </c>
      <c r="BY89" s="12">
        <v>0</v>
      </c>
      <c r="BZ89" s="12">
        <v>2</v>
      </c>
      <c r="CA89" s="12">
        <v>0</v>
      </c>
      <c r="CB89" s="12">
        <v>-1</v>
      </c>
      <c r="CC89" s="12">
        <v>-1</v>
      </c>
      <c r="CD89" s="12">
        <v>-1</v>
      </c>
      <c r="CE89" s="12">
        <v>-1</v>
      </c>
      <c r="CF89" s="12">
        <v>-1</v>
      </c>
      <c r="CG89" s="12">
        <v>-1</v>
      </c>
      <c r="CH89" s="12">
        <v>-1</v>
      </c>
      <c r="CI89" s="12">
        <v>-1</v>
      </c>
      <c r="CJ89" s="47"/>
      <c r="CK89" s="48">
        <f>IF(BX89=5,320,IF(BX89=4,195,IF(BX89=3,132,IF(BX89=2,90,IF(BX89=1,58,IF(BX89=-1,0,35))))))</f>
        <v>90</v>
      </c>
      <c r="CL89" s="48">
        <f>IF(BX89=5,20,IF(BX89=4,15,IF(BX89=3,12,IF(BX89=2,10,IF(BX89=1,8,IF(BX89=-1,0,5))))))</f>
        <v>10</v>
      </c>
      <c r="CM89" s="48">
        <f>IF(BZ89=5,320,IF(BZ89=4,195,IF(BZ89=3,132,IF(BZ89=2,90,IF(BZ89=1,58,IF(BZ89=-1,0,35))))))</f>
        <v>90</v>
      </c>
      <c r="CN89" s="48">
        <f>IF(BZ89=5,20,IF(BZ89=4,15,IF(BZ89=3,12,IF(BZ89=2,10,IF(BZ89=1,8,IF(BZ89=-1,0,5))))))</f>
        <v>10</v>
      </c>
      <c r="CO89" s="48">
        <f>IF(CB89=5,320,IF(CB89=4,195,IF(CB89=3,132,IF(CB89=2,90,IF(CB89=1,58,IF(CB89=-1,0,35))))))</f>
        <v>0</v>
      </c>
      <c r="CP89" s="48">
        <f>IF(CB89=5,20,IF(CB89=4,15,IF(CB89=3,12,IF(CB89=2,10,IF(CB89=1,8,IF(CB89=-1,0,5))))))</f>
        <v>0</v>
      </c>
      <c r="CQ89" s="48">
        <f>IF(CD89=5,320,IF(CD89=4,195,IF(CD89=3,132,IF(CD89=2,90,IF(CD89=1,58,IF(CD89=-1,0,35))))))</f>
        <v>0</v>
      </c>
      <c r="CR89" s="48">
        <f>IF(CD89=5,20,IF(CD89=4,15,IF(CD89=3,12,IF(CD89=2,10,IF(CD89=1,8,IF(CD89=-1,0,5))))))</f>
        <v>0</v>
      </c>
      <c r="CS89" s="48">
        <f>IF(CF89=5,320,IF(CF89=4,195,IF(CF89=3,132,IF(CF89=2,90,IF(CF89=1,58,IF(CF89=-1,0,35))))))</f>
        <v>0</v>
      </c>
      <c r="CT89" s="48">
        <f>IF(CF89=5,20,IF(CF89=4,15,IF(CF89=3,12,IF(CF89=2,10,IF(CF89=1,8,IF(CF89=-1,0,5))))))</f>
        <v>0</v>
      </c>
      <c r="CU89" s="48">
        <f>IF(CH89=5,320,IF(CH89=4,195,IF(CH89=3,132,IF(CH89=2,90,IF(CH89=1,58,IF(CH89=-1,0,35))))))</f>
        <v>0</v>
      </c>
      <c r="CV89" s="48">
        <f>IF(CH89=5,20,IF(CH89=4,15,IF(CH89=3,12,IF(CH89=2,10,IF(CH89=1,8,IF(CH89=-1,0,5))))))</f>
        <v>0</v>
      </c>
      <c r="CW89" s="48">
        <f>IF(BY89&gt;10,(BY89/10)-ROUNDDOWN(BY89/10,0),0)+IF(CA89&gt;10,(CA89/10)-ROUNDDOWN(CA89/10,0),0)+IF(CC89&gt;10,(CC89/10)-ROUNDDOWN(CC89/10,0),0)+IF(CE89&gt;10,(CE89/10)-ROUNDDOWN(CE89/10,0),0)+IF(CG89&gt;10,(CG89/10)-ROUNDDOWN(CG89/10,0),0)+IF(CI89&gt;10,(CI89/10)-ROUNDDOWN(CI89/10,0),0)</f>
        <v>0</v>
      </c>
      <c r="CX89" s="48">
        <f>1+(CW89/10)</f>
        <v>1</v>
      </c>
    </row>
    <row r="90" ht="20.05" customHeight="1">
      <c r="A90" t="s" s="43">
        <v>369</v>
      </c>
      <c r="B90" s="49"/>
      <c r="C90" t="s" s="45">
        <v>73</v>
      </c>
      <c r="D90" s="13">
        <v>7</v>
      </c>
      <c r="E90" t="s" s="15">
        <v>232</v>
      </c>
      <c r="F90" t="s" s="15">
        <v>233</v>
      </c>
      <c r="G90" t="s" s="15">
        <v>282</v>
      </c>
      <c r="H90" s="12">
        <v>1</v>
      </c>
      <c r="I90" t="s" s="15">
        <v>235</v>
      </c>
      <c r="J90" s="12">
        <v>41</v>
      </c>
      <c r="K90" t="s" s="14">
        <v>236</v>
      </c>
      <c r="L90" t="s" s="15">
        <v>265</v>
      </c>
      <c r="M90" t="s" s="15">
        <v>27</v>
      </c>
      <c r="N90" s="46">
        <f>ROUND((SUM(AA90,T90:Y90,AC90:AE90,Z90*10)-AB90*15)*(IF(K90="Heavy",0.15,IF(K90="Medium",0,IF(K90="Light",-0.15,10)))+1),0)</f>
        <v>433</v>
      </c>
      <c r="O90" s="46">
        <v>1142</v>
      </c>
      <c r="P90" s="46">
        <f>ROUNDDOWN((BI90+AU90+AG90)/5,0)+(BJ90+AV90+AH90)+(BN90+AZ90+AL90)+(BO90+BA90+AM90)+(BK90+AW90+AI90)+(BS90+BE90+AQ90)+(BL90+AX90+AJ90)+(BQ90+BC90+AO90)+(2*((BT90+BF90+AR90)+(BU90+BG90+AS90)))+(CK90+CM90+CO90+CQ90+CS90+CU90)+(CL90*BY90)+(CN90*CA90)+(CP90+CC90)+(CR90+CE90)+(CT90+CG90)+(CV90+CI90)+BV90</f>
        <v>1460</v>
      </c>
      <c r="Q90" s="46">
        <f>ROUNDDOWN(((S90/5)+T90+X90+Y90+U90+AC90+V90+AA90+(2*(AD90+AE90))+CK90+CM90+CO90+CQ90+CS90+CU90+(CL90*BX90)+(CN90*BZ90)+(CP90*CB90)+(CR90*CD90)+(CT90*CF90)+(CV90*CH90))*CX90,0)</f>
        <v>1138</v>
      </c>
      <c r="R90" s="46">
        <f>ROUNDDOWN(AVERAGE(P90:Q90),0)</f>
        <v>1299</v>
      </c>
      <c r="S90" s="12">
        <f>AG90+AU90+BI90</f>
        <v>1698</v>
      </c>
      <c r="T90" s="12">
        <f>AH90+AV90+BJ90</f>
        <v>61</v>
      </c>
      <c r="U90" s="12">
        <f>AI90+AW90+BK90</f>
        <v>144</v>
      </c>
      <c r="V90" s="12">
        <f>AJ90+AX90+BL90</f>
        <v>43</v>
      </c>
      <c r="W90" s="12">
        <f>AK90+AY90+BM90</f>
        <v>72</v>
      </c>
      <c r="X90" s="12">
        <f>AL90+AZ90+BN90</f>
        <v>0</v>
      </c>
      <c r="Y90" s="12">
        <f>AM90+BA90+BO90</f>
        <v>0</v>
      </c>
      <c r="Z90" s="12">
        <f>AN90+BB90+BP90</f>
        <v>0</v>
      </c>
      <c r="AA90" s="12">
        <f>AO90+BC90+BQ90</f>
        <v>32</v>
      </c>
      <c r="AB90" s="12">
        <f>AP90+BD90+BR90</f>
        <v>5</v>
      </c>
      <c r="AC90" s="12">
        <f>AQ90+BE90+BS90</f>
        <v>90</v>
      </c>
      <c r="AD90" s="12">
        <f>AR90+BF90+BT90</f>
        <v>53</v>
      </c>
      <c r="AE90" s="12">
        <f>AS90+BG90+BU90</f>
        <v>89</v>
      </c>
      <c r="AF90" s="28"/>
      <c r="AG90" s="12">
        <v>0</v>
      </c>
      <c r="AH90" s="12">
        <v>5</v>
      </c>
      <c r="AI90" s="12">
        <v>12</v>
      </c>
      <c r="AJ90" s="12">
        <v>0</v>
      </c>
      <c r="AK90" s="12">
        <v>0</v>
      </c>
      <c r="AL90" s="12">
        <v>0</v>
      </c>
      <c r="AM90" s="12">
        <v>0</v>
      </c>
      <c r="AN90" s="12">
        <v>0</v>
      </c>
      <c r="AO90" s="12">
        <v>0</v>
      </c>
      <c r="AP90" s="12">
        <v>0</v>
      </c>
      <c r="AQ90" s="12">
        <v>0</v>
      </c>
      <c r="AR90" s="12">
        <v>0</v>
      </c>
      <c r="AS90" s="12">
        <v>0</v>
      </c>
      <c r="AT90" s="28"/>
      <c r="AU90" s="12">
        <f>IF($H90=3,IF(OR($F90="DDV",$F90="DDG",$F90="DD"),'Fleet Tech - Tech'!B$3,IF($F90="CL",'Fleet Tech - Tech'!B$4,IF($F90="CA",'Fleet Tech - Tech'!B$5,IF($F90="BC",'Fleet Tech - Tech'!B$6,IF($F90="BB",'Fleet Tech - Tech'!B$7,IF($F90="CVL",'Fleet Tech - Tech'!B$8,IF($F90="CV",'Fleet Tech - Tech'!B$9,IF($F90="SS",'Fleet Tech - Tech'!B$10,IF($F90="BBV",'Fleet Tech - Tech'!B$11,IF($F90="CB",'Fleet Tech - Tech'!B$15,IF($F90="AE",'Fleet Tech - Tech'!B$16,IF($F90="IX",'Fleet Tech - Tech'!B$17,IF($F90="BM",'Fleet Tech - Tech'!B$13,IF($F90="AR",'Fleet Tech - Tech'!B$12,IF($F90="SSV",'Fleet Tech - Tech'!B$14,"nil"))))))))))))))),0)</f>
        <v>0</v>
      </c>
      <c r="AV90" s="12">
        <f>IF($H90=3,IF(OR($F90="DDV",$F90="DDG",$F90="DD"),'Fleet Tech - Tech'!C$3,IF($F90="CL",'Fleet Tech - Tech'!C$4,IF($F90="CA",'Fleet Tech - Tech'!C$5,IF($F90="BC",'Fleet Tech - Tech'!C$6,IF($F90="BB",'Fleet Tech - Tech'!C$7,IF($F90="CVL",'Fleet Tech - Tech'!C$8,IF($F90="CV",'Fleet Tech - Tech'!C$9,IF($F90="SS",'Fleet Tech - Tech'!C$10,IF($F90="BBV",'Fleet Tech - Tech'!C$11,IF($F90="CB",'Fleet Tech - Tech'!C$15,IF($F90="AE",'Fleet Tech - Tech'!C$16,IF($F90="IX",'Fleet Tech - Tech'!C$17,IF($F90="BM",'Fleet Tech - Tech'!C$13,IF($F90="AR",'Fleet Tech - Tech'!C$12,IF($F90="SSV",'Fleet Tech - Tech'!C$14,"nil"))))))))))))))),0)</f>
        <v>0</v>
      </c>
      <c r="AW90" s="12">
        <f>IF($H90=3,IF(OR($F90="DDV",$F90="DDG",$F90="DD"),'Fleet Tech - Tech'!D$3,IF($F90="CL",'Fleet Tech - Tech'!D$4,IF($F90="CA",'Fleet Tech - Tech'!D$5,IF($F90="BC",'Fleet Tech - Tech'!D$6,IF($F90="BB",'Fleet Tech - Tech'!D$7,IF($F90="CVL",'Fleet Tech - Tech'!D$8,IF($F90="CV",'Fleet Tech - Tech'!D$9,IF($F90="SS",'Fleet Tech - Tech'!D$10,IF($F90="BBV",'Fleet Tech - Tech'!D$11,IF($F90="CB",'Fleet Tech - Tech'!D$15,IF($F90="AE",'Fleet Tech - Tech'!D$16,IF($F90="IX",'Fleet Tech - Tech'!D$17,IF($F90="BM",'Fleet Tech - Tech'!D$13,IF($F90="AR",'Fleet Tech - Tech'!D$12,IF($F90="SSV",'Fleet Tech - Tech'!D$14,"nil"))))))))))))))),0)</f>
        <v>0</v>
      </c>
      <c r="AX90" s="12">
        <f>IF($H90=3,IF(OR($F90="DDV",$F90="DDG",$F90="DD"),'Fleet Tech - Tech'!E$3,IF($F90="CL",'Fleet Tech - Tech'!E$4,IF($F90="CA",'Fleet Tech - Tech'!E$5,IF($F90="BC",'Fleet Tech - Tech'!E$6,IF($F90="BB",'Fleet Tech - Tech'!E$7,IF($F90="CVL",'Fleet Tech - Tech'!E$8,IF($F90="CV",'Fleet Tech - Tech'!E$9,IF($F90="SS",'Fleet Tech - Tech'!E$10,IF($F90="BBV",'Fleet Tech - Tech'!E$11,IF($F90="CB",'Fleet Tech - Tech'!E$15,IF($F90="AE",'Fleet Tech - Tech'!E$16,IF($F90="IX",'Fleet Tech - Tech'!E$17,IF($F90="BM",'Fleet Tech - Tech'!E$13,IF($F90="AR",'Fleet Tech - Tech'!E$12,IF($F90="SSV",'Fleet Tech - Tech'!E$14,"nil"))))))))))))))),0)</f>
        <v>0</v>
      </c>
      <c r="AY90" s="12">
        <f>IF($H90=3,IF(OR($F90="DDV",$F90="DDG",$F90="DD"),'Fleet Tech - Tech'!F$3,IF($F90="CL",'Fleet Tech - Tech'!F$4,IF($F90="CA",'Fleet Tech - Tech'!F$5,IF($F90="BC",'Fleet Tech - Tech'!F$6,IF($F90="BB",'Fleet Tech - Tech'!F$7,IF($F90="CVL",'Fleet Tech - Tech'!F$8,IF($F90="CV",'Fleet Tech - Tech'!F$9,IF($F90="SS",'Fleet Tech - Tech'!F$10,IF($F90="BBV",'Fleet Tech - Tech'!F$11,IF($F90="CB",'Fleet Tech - Tech'!F$15,IF($F90="AE",'Fleet Tech - Tech'!F$16,IF($F90="IX",'Fleet Tech - Tech'!F$17,IF($F90="BM",'Fleet Tech - Tech'!F$13,IF($F90="AR",'Fleet Tech - Tech'!F$12,IF($F90="SSV",'Fleet Tech - Tech'!F$14,"nil"))))))))))))))),0)</f>
        <v>0</v>
      </c>
      <c r="AZ90" s="12">
        <f>IF($H90=3,IF(OR($F90="DDV",$F90="DDG",$F90="DD"),'Fleet Tech - Tech'!G$3,IF($F90="CL",'Fleet Tech - Tech'!G$4,IF($F90="CA",'Fleet Tech - Tech'!G$5,IF($F90="BC",'Fleet Tech - Tech'!G$6,IF($F90="BB",'Fleet Tech - Tech'!G$7,IF($F90="CVL",'Fleet Tech - Tech'!G$8,IF($F90="CV",'Fleet Tech - Tech'!G$9,IF($F90="SS",'Fleet Tech - Tech'!G$10,IF($F90="BBV",'Fleet Tech - Tech'!G$11,IF($F90="CB",'Fleet Tech - Tech'!G$15,IF($F90="AE",'Fleet Tech - Tech'!G$16,IF($F90="IX",'Fleet Tech - Tech'!G$17,IF($F90="BM",'Fleet Tech - Tech'!G$13,IF($F90="AR",'Fleet Tech - Tech'!G$12,IF($F90="SSV",'Fleet Tech - Tech'!G$14,"nil"))))))))))))))),0)</f>
        <v>0</v>
      </c>
      <c r="BA90" s="12">
        <f>IF($H90=3,IF(OR($F90="DDV",$F90="DDG",$F90="DD"),'Fleet Tech - Tech'!H$3,IF($F90="CL",'Fleet Tech - Tech'!H$4,IF($F90="CA",'Fleet Tech - Tech'!H$5,IF($F90="BC",'Fleet Tech - Tech'!H$6,IF($F90="BB",'Fleet Tech - Tech'!H$7,IF($F90="CVL",'Fleet Tech - Tech'!H$8,IF($F90="CV",'Fleet Tech - Tech'!H$9,IF($F90="SS",'Fleet Tech - Tech'!H$10,IF($F90="BBV",'Fleet Tech - Tech'!H$11,IF($F90="CB",'Fleet Tech - Tech'!H$15,IF($F90="AE",'Fleet Tech - Tech'!H$16,IF($F90="IX",'Fleet Tech - Tech'!H$17,IF($F90="BM",'Fleet Tech - Tech'!H$13,IF($F90="AR",'Fleet Tech - Tech'!H$12,IF($F90="SSV",'Fleet Tech - Tech'!H$14,"nil"))))))))))))))),0)</f>
        <v>0</v>
      </c>
      <c r="BB90" s="12">
        <f>IF($H90=3,IF(OR($F90="DDV",$F90="DDG",$F90="DD"),'Fleet Tech - Tech'!I$3,IF($F90="CL",'Fleet Tech - Tech'!I$4,IF($F90="CA",'Fleet Tech - Tech'!I$5,IF($F90="BC",'Fleet Tech - Tech'!I$6,IF($F90="BB",'Fleet Tech - Tech'!I$7,IF($F90="CVL",'Fleet Tech - Tech'!I$8,IF($F90="CV",'Fleet Tech - Tech'!I$9,IF($F90="SS",'Fleet Tech - Tech'!I$10,IF($F90="BBV",'Fleet Tech - Tech'!I$11,IF($F90="CB",'Fleet Tech - Tech'!I$15,IF($F90="AE",'Fleet Tech - Tech'!I$16,IF($F90="IX",'Fleet Tech - Tech'!I$17,IF($F90="BM",'Fleet Tech - Tech'!I$13,IF($F90="AR",'Fleet Tech - Tech'!I$12,IF($F90="SSV",'Fleet Tech - Tech'!I$14,"nil"))))))))))))))),0)</f>
        <v>0</v>
      </c>
      <c r="BC90" s="12">
        <f>IF($H90=3,IF(OR($F90="DDV",$F90="DDG",$F90="DD"),'Fleet Tech - Tech'!J$3,IF($F90="CL",'Fleet Tech - Tech'!J$4,IF($F90="CA",'Fleet Tech - Tech'!J$5,IF($F90="BC",'Fleet Tech - Tech'!J$6,IF($F90="BB",'Fleet Tech - Tech'!J$7,IF($F90="CVL",'Fleet Tech - Tech'!J$8,IF($F90="CV",'Fleet Tech - Tech'!J$9,IF($F90="SS",'Fleet Tech - Tech'!J$10,IF($F90="BBV",'Fleet Tech - Tech'!J$11,IF($F90="CB",'Fleet Tech - Tech'!J$15,IF($F90="AE",'Fleet Tech - Tech'!J$16,IF($F90="IX",'Fleet Tech - Tech'!J$17,IF($F90="BM",'Fleet Tech - Tech'!J$13,IF($F90="AR",'Fleet Tech - Tech'!J$12,IF($F90="SSV",'Fleet Tech - Tech'!J$14,"nil"))))))))))))))),0)</f>
        <v>0</v>
      </c>
      <c r="BD90" s="12">
        <f>IF($H90=3,IF(OR($F90="DDV",$F90="DDG",$F90="DD"),'Fleet Tech - Tech'!K$3,IF($F90="CL",'Fleet Tech - Tech'!K$4,IF($F90="CA",'Fleet Tech - Tech'!K$5,IF($F90="BC",'Fleet Tech - Tech'!K$6,IF($F90="BB",'Fleet Tech - Tech'!K$7,IF($F90="CVL",'Fleet Tech - Tech'!K$8,IF($F90="CV",'Fleet Tech - Tech'!K$9,IF($F90="SS",'Fleet Tech - Tech'!K$10,IF($F90="BBV",'Fleet Tech - Tech'!K$11,IF($F90="CB",'Fleet Tech - Tech'!K$15,IF($F90="AE",'Fleet Tech - Tech'!K$16,IF($F90="IX",'Fleet Tech - Tech'!K$17,IF($F90="BM",'Fleet Tech - Tech'!K$13,IF($F90="AR",'Fleet Tech - Tech'!K$12,IF($F90="SSV",'Fleet Tech - Tech'!K$14,"nil"))))))))))))))),0)</f>
        <v>0</v>
      </c>
      <c r="BE90" s="12">
        <f>IF($H90=3,IF(OR($F90="DDV",$F90="DDG",$F90="DD"),'Fleet Tech - Tech'!L$3,IF($F90="CL",'Fleet Tech - Tech'!L$4,IF($F90="CA",'Fleet Tech - Tech'!L$5,IF($F90="BC",'Fleet Tech - Tech'!L$6,IF($F90="BB",'Fleet Tech - Tech'!L$7,IF($F90="CVL",'Fleet Tech - Tech'!L$8,IF($F90="CV",'Fleet Tech - Tech'!L$9,IF($F90="SS",'Fleet Tech - Tech'!L$10,IF($F90="BBV",'Fleet Tech - Tech'!L$11,IF($F90="CB",'Fleet Tech - Tech'!L$15,IF($F90="AE",'Fleet Tech - Tech'!L$16,IF($F90="IX",'Fleet Tech - Tech'!L$17,IF($F90="BM",'Fleet Tech - Tech'!L$13,IF($F90="AR",'Fleet Tech - Tech'!L$12,IF($F90="SSV",'Fleet Tech - Tech'!L$14,"nil"))))))))))))))),0)</f>
        <v>0</v>
      </c>
      <c r="BF90" s="12">
        <f>IF($H90=3,IF(OR($F90="DDV",$F90="DDG",$F90="DD"),'Fleet Tech - Tech'!M$3,IF($F90="CL",'Fleet Tech - Tech'!M$4,IF($F90="CA",'Fleet Tech - Tech'!M$5,IF($F90="BC",'Fleet Tech - Tech'!M$6,IF($F90="BB",'Fleet Tech - Tech'!M$7,IF($F90="CVL",'Fleet Tech - Tech'!M$8,IF($F90="CV",'Fleet Tech - Tech'!M$9,IF($F90="SS",'Fleet Tech - Tech'!M$10,IF($F90="BBV",'Fleet Tech - Tech'!M$11,IF($F90="CB",'Fleet Tech - Tech'!M$15,IF($F90="AE",'Fleet Tech - Tech'!M$16,IF($F90="IX",'Fleet Tech - Tech'!M$17,IF($F90="BM",'Fleet Tech - Tech'!M$13,IF($F90="AR",'Fleet Tech - Tech'!M$12,IF($F90="SSV",'Fleet Tech - Tech'!M$14,"nil"))))))))))))))),0)</f>
        <v>0</v>
      </c>
      <c r="BG90" s="12">
        <f>IF($H90=3,IF(OR($F90="DDV",$F90="DDG",$F90="DD"),'Fleet Tech - Tech'!N$3,IF($F90="CL",'Fleet Tech - Tech'!N$4,IF($F90="CA",'Fleet Tech - Tech'!N$5,IF($F90="BC",'Fleet Tech - Tech'!N$6,IF($F90="BB",'Fleet Tech - Tech'!N$7,IF($F90="CVL",'Fleet Tech - Tech'!N$8,IF($F90="CV",'Fleet Tech - Tech'!N$9,IF($F90="SS",'Fleet Tech - Tech'!N$10,IF($F90="BBV",'Fleet Tech - Tech'!N$11,IF($F90="CB",'Fleet Tech - Tech'!N$15,IF($F90="AE",'Fleet Tech - Tech'!N$16,IF($F90="IX",'Fleet Tech - Tech'!N$17,IF($F90="BM",'Fleet Tech - Tech'!N$13,IF($F90="AR",'Fleet Tech - Tech'!N$12,IF($F90="SSV",'Fleet Tech - Tech'!N$14,"nil"))))))))))))))),0)</f>
        <v>0</v>
      </c>
      <c r="BH90" s="28"/>
      <c r="BI90" s="12">
        <v>1698</v>
      </c>
      <c r="BJ90" s="12">
        <v>56</v>
      </c>
      <c r="BK90" s="12">
        <v>132</v>
      </c>
      <c r="BL90" s="12">
        <v>43</v>
      </c>
      <c r="BM90" s="12">
        <v>72</v>
      </c>
      <c r="BN90" s="12">
        <v>0</v>
      </c>
      <c r="BO90" s="12">
        <v>0</v>
      </c>
      <c r="BP90" s="12">
        <v>0</v>
      </c>
      <c r="BQ90" s="12">
        <v>32</v>
      </c>
      <c r="BR90" s="12">
        <v>5</v>
      </c>
      <c r="BS90" s="12">
        <v>90</v>
      </c>
      <c r="BT90" s="12">
        <v>53</v>
      </c>
      <c r="BU90" s="12">
        <v>89</v>
      </c>
      <c r="BV90" s="12">
        <v>335</v>
      </c>
      <c r="BW90" s="28"/>
      <c r="BX90" s="12">
        <v>0</v>
      </c>
      <c r="BY90" s="12">
        <v>0</v>
      </c>
      <c r="BZ90" s="12">
        <v>-1</v>
      </c>
      <c r="CA90" s="12">
        <v>-1</v>
      </c>
      <c r="CB90" s="12">
        <v>2</v>
      </c>
      <c r="CC90" s="12">
        <v>0</v>
      </c>
      <c r="CD90" s="12">
        <v>-1</v>
      </c>
      <c r="CE90" s="12">
        <v>-1</v>
      </c>
      <c r="CF90" s="12">
        <v>-1</v>
      </c>
      <c r="CG90" s="12">
        <v>-1</v>
      </c>
      <c r="CH90" s="12">
        <v>-1</v>
      </c>
      <c r="CI90" s="12">
        <v>-1</v>
      </c>
      <c r="CJ90" s="47"/>
      <c r="CK90" s="48">
        <f>IF(BX90=5,320,IF(BX90=4,195,IF(BX90=3,132,IF(BX90=2,90,IF(BX90=1,58,IF(BX90=-1,0,35))))))</f>
        <v>35</v>
      </c>
      <c r="CL90" s="48">
        <f>IF(BX90=5,20,IF(BX90=4,15,IF(BX90=3,12,IF(BX90=2,10,IF(BX90=1,8,IF(BX90=-1,0,5))))))</f>
        <v>5</v>
      </c>
      <c r="CM90" s="48">
        <f>IF(BZ90=5,320,IF(BZ90=4,195,IF(BZ90=3,132,IF(BZ90=2,90,IF(BZ90=1,58,IF(BZ90=-1,0,35))))))</f>
        <v>0</v>
      </c>
      <c r="CN90" s="48">
        <f>IF(BZ90=5,20,IF(BZ90=4,15,IF(BZ90=3,12,IF(BZ90=2,10,IF(BZ90=1,8,IF(BZ90=-1,0,5))))))</f>
        <v>0</v>
      </c>
      <c r="CO90" s="48">
        <f>IF(CB90=5,320,IF(CB90=4,195,IF(CB90=3,132,IF(CB90=2,90,IF(CB90=1,58,IF(CB90=-1,0,35))))))</f>
        <v>90</v>
      </c>
      <c r="CP90" s="48">
        <f>IF(CB90=5,20,IF(CB90=4,15,IF(CB90=3,12,IF(CB90=2,10,IF(CB90=1,8,IF(CB90=-1,0,5))))))</f>
        <v>10</v>
      </c>
      <c r="CQ90" s="48">
        <f>IF(CD90=5,320,IF(CD90=4,195,IF(CD90=3,132,IF(CD90=2,90,IF(CD90=1,58,IF(CD90=-1,0,35))))))</f>
        <v>0</v>
      </c>
      <c r="CR90" s="48">
        <f>IF(CD90=5,20,IF(CD90=4,15,IF(CD90=3,12,IF(CD90=2,10,IF(CD90=1,8,IF(CD90=-1,0,5))))))</f>
        <v>0</v>
      </c>
      <c r="CS90" s="48">
        <f>IF(CF90=5,320,IF(CF90=4,195,IF(CF90=3,132,IF(CF90=2,90,IF(CF90=1,58,IF(CF90=-1,0,35))))))</f>
        <v>0</v>
      </c>
      <c r="CT90" s="48">
        <f>IF(CF90=5,20,IF(CF90=4,15,IF(CF90=3,12,IF(CF90=2,10,IF(CF90=1,8,IF(CF90=-1,0,5))))))</f>
        <v>0</v>
      </c>
      <c r="CU90" s="48">
        <f>IF(CH90=5,320,IF(CH90=4,195,IF(CH90=3,132,IF(CH90=2,90,IF(CH90=1,58,IF(CH90=-1,0,35))))))</f>
        <v>0</v>
      </c>
      <c r="CV90" s="48">
        <f>IF(CH90=5,20,IF(CH90=4,15,IF(CH90=3,12,IF(CH90=2,10,IF(CH90=1,8,IF(CH90=-1,0,5))))))</f>
        <v>0</v>
      </c>
      <c r="CW90" s="48">
        <f>IF(BY90&gt;10,(BY90/10)-ROUNDDOWN(BY90/10,0),0)+IF(CA90&gt;10,(CA90/10)-ROUNDDOWN(CA90/10,0),0)+IF(CC90&gt;10,(CC90/10)-ROUNDDOWN(CC90/10,0),0)+IF(CE90&gt;10,(CE90/10)-ROUNDDOWN(CE90/10,0),0)+IF(CG90&gt;10,(CG90/10)-ROUNDDOWN(CG90/10,0),0)+IF(CI90&gt;10,(CI90/10)-ROUNDDOWN(CI90/10,0),0)</f>
        <v>0</v>
      </c>
      <c r="CX90" s="48">
        <f>1+(CW90/10)</f>
        <v>1</v>
      </c>
    </row>
    <row r="91" ht="20.05" customHeight="1">
      <c r="A91" t="s" s="43">
        <v>370</v>
      </c>
      <c r="B91" s="49"/>
      <c r="C91" t="s" s="45">
        <v>73</v>
      </c>
      <c r="D91" s="13">
        <v>7</v>
      </c>
      <c r="E91" t="s" s="15">
        <v>232</v>
      </c>
      <c r="F91" t="s" s="15">
        <v>233</v>
      </c>
      <c r="G91" t="s" s="15">
        <v>282</v>
      </c>
      <c r="H91" s="12">
        <v>1</v>
      </c>
      <c r="I91" t="s" s="15">
        <v>273</v>
      </c>
      <c r="J91" s="12">
        <v>41</v>
      </c>
      <c r="K91" t="s" s="14">
        <v>236</v>
      </c>
      <c r="L91" t="s" s="15">
        <v>237</v>
      </c>
      <c r="M91" t="s" s="15">
        <v>19</v>
      </c>
      <c r="N91" s="46">
        <f>ROUND((SUM(AA91,T91:Y91,AC91:AE91,Z91*10)-AB91*15)*(IF(K91="Heavy",0.15,IF(K91="Medium",0,IF(K91="Light",-0.15,10)))+1),0)</f>
        <v>582</v>
      </c>
      <c r="O91" s="46">
        <v>1455</v>
      </c>
      <c r="P91" s="46">
        <f>ROUNDDOWN((BI91+AU91+AG91)/5,0)+(BJ91+AV91+AH91)+(BN91+AZ91+AL91)+(BO91+BA91+AM91)+(BK91+AW91+AI91)+(BS91+BE91+AQ91)+(BL91+AX91+AJ91)+(BQ91+BC91+AO91)+(2*((BT91+BF91+AR91)+(BU91+BG91+AS91)))+(CK91+CM91+CO91+CQ91+CS91+CU91)+(CL91*BY91)+(CN91*CA91)+(CP91+CC91)+(CR91+CE91)+(CT91+CG91)+(CV91+CI91)+BV91</f>
        <v>1787</v>
      </c>
      <c r="Q91" s="46">
        <f>ROUNDDOWN(((S91/5)+T91+X91+Y91+U91+AC91+V91+AA91+(2*(AD91+AE91))+CK91+CM91+CO91+CQ91+CS91+CU91+(CL91*BX91)+(CN91*BZ91)+(CP91*CB91)+(CR91*CD91)+(CT91*CF91)+(CV91*CH91))*CX91,0)</f>
        <v>1456</v>
      </c>
      <c r="R91" s="46">
        <f>ROUNDDOWN(AVERAGE(P91:Q91),0)</f>
        <v>1621</v>
      </c>
      <c r="S91" s="12">
        <f>AG91+AU91+BI91</f>
        <v>2494</v>
      </c>
      <c r="T91" s="12">
        <f>AH91+AV91+BJ91</f>
        <v>80</v>
      </c>
      <c r="U91" s="12">
        <f>AI91+AW91+BK91</f>
        <v>219</v>
      </c>
      <c r="V91" s="12">
        <f>AJ91+AX91+BL91</f>
        <v>58</v>
      </c>
      <c r="W91" s="12">
        <f>AK91+AY91+BM91</f>
        <v>0</v>
      </c>
      <c r="X91" s="12">
        <f>AL91+AZ91+BN91</f>
        <v>200</v>
      </c>
      <c r="Y91" s="12">
        <f>AM91+BA91+BO91</f>
        <v>0</v>
      </c>
      <c r="Z91" s="12">
        <f>AN91+BB91+BP91</f>
        <v>0</v>
      </c>
      <c r="AA91" s="12">
        <f>AO91+BC91+BQ91</f>
        <v>34</v>
      </c>
      <c r="AB91" s="12">
        <f>AP91+BD91+BR91</f>
        <v>9</v>
      </c>
      <c r="AC91" s="12">
        <f>AQ91+BE91+BS91</f>
        <v>91</v>
      </c>
      <c r="AD91" s="12">
        <f>AR91+BF91+BT91</f>
        <v>49</v>
      </c>
      <c r="AE91" s="12">
        <f>AS91+BG91+BU91</f>
        <v>89</v>
      </c>
      <c r="AF91" s="28"/>
      <c r="AG91" s="12">
        <v>0</v>
      </c>
      <c r="AH91" s="12">
        <v>0</v>
      </c>
      <c r="AI91" s="12">
        <v>0</v>
      </c>
      <c r="AJ91" s="12">
        <v>0</v>
      </c>
      <c r="AK91" s="12">
        <v>0</v>
      </c>
      <c r="AL91" s="12">
        <v>0</v>
      </c>
      <c r="AM91" s="12">
        <v>0</v>
      </c>
      <c r="AN91" s="12">
        <v>0</v>
      </c>
      <c r="AO91" s="12">
        <v>0</v>
      </c>
      <c r="AP91" s="12">
        <v>0</v>
      </c>
      <c r="AQ91" s="12">
        <v>0</v>
      </c>
      <c r="AR91" s="12">
        <v>0</v>
      </c>
      <c r="AS91" s="12">
        <v>0</v>
      </c>
      <c r="AT91" s="28"/>
      <c r="AU91" s="12">
        <f>IF($H91=3,IF(OR($F91="DDV",$F91="DDG",$F91="DD"),'Fleet Tech - Tech'!B$3,IF($F91="CL",'Fleet Tech - Tech'!B$4,IF($F91="CA",'Fleet Tech - Tech'!B$5,IF($F91="BC",'Fleet Tech - Tech'!B$6,IF($F91="BB",'Fleet Tech - Tech'!B$7,IF($F91="CVL",'Fleet Tech - Tech'!B$8,IF($F91="CV",'Fleet Tech - Tech'!B$9,IF($F91="SS",'Fleet Tech - Tech'!B$10,IF($F91="BBV",'Fleet Tech - Tech'!B$11,IF($F91="CB",'Fleet Tech - Tech'!B$15,IF($F91="AE",'Fleet Tech - Tech'!B$16,IF($F91="IX",'Fleet Tech - Tech'!B$17,IF($F91="BM",'Fleet Tech - Tech'!B$13,IF($F91="AR",'Fleet Tech - Tech'!B$12,IF($F91="SSV",'Fleet Tech - Tech'!B$14,"nil"))))))))))))))),0)</f>
        <v>0</v>
      </c>
      <c r="AV91" s="12">
        <f>IF($H91=3,IF(OR($F91="DDV",$F91="DDG",$F91="DD"),'Fleet Tech - Tech'!C$3,IF($F91="CL",'Fleet Tech - Tech'!C$4,IF($F91="CA",'Fleet Tech - Tech'!C$5,IF($F91="BC",'Fleet Tech - Tech'!C$6,IF($F91="BB",'Fleet Tech - Tech'!C$7,IF($F91="CVL",'Fleet Tech - Tech'!C$8,IF($F91="CV",'Fleet Tech - Tech'!C$9,IF($F91="SS",'Fleet Tech - Tech'!C$10,IF($F91="BBV",'Fleet Tech - Tech'!C$11,IF($F91="CB",'Fleet Tech - Tech'!C$15,IF($F91="AE",'Fleet Tech - Tech'!C$16,IF($F91="IX",'Fleet Tech - Tech'!C$17,IF($F91="BM",'Fleet Tech - Tech'!C$13,IF($F91="AR",'Fleet Tech - Tech'!C$12,IF($F91="SSV",'Fleet Tech - Tech'!C$14,"nil"))))))))))))))),0)</f>
        <v>0</v>
      </c>
      <c r="AW91" s="12">
        <f>IF($H91=3,IF(OR($F91="DDV",$F91="DDG",$F91="DD"),'Fleet Tech - Tech'!D$3,IF($F91="CL",'Fleet Tech - Tech'!D$4,IF($F91="CA",'Fleet Tech - Tech'!D$5,IF($F91="BC",'Fleet Tech - Tech'!D$6,IF($F91="BB",'Fleet Tech - Tech'!D$7,IF($F91="CVL",'Fleet Tech - Tech'!D$8,IF($F91="CV",'Fleet Tech - Tech'!D$9,IF($F91="SS",'Fleet Tech - Tech'!D$10,IF($F91="BBV",'Fleet Tech - Tech'!D$11,IF($F91="CB",'Fleet Tech - Tech'!D$15,IF($F91="AE",'Fleet Tech - Tech'!D$16,IF($F91="IX",'Fleet Tech - Tech'!D$17,IF($F91="BM",'Fleet Tech - Tech'!D$13,IF($F91="AR",'Fleet Tech - Tech'!D$12,IF($F91="SSV",'Fleet Tech - Tech'!D$14,"nil"))))))))))))))),0)</f>
        <v>0</v>
      </c>
      <c r="AX91" s="12">
        <f>IF($H91=3,IF(OR($F91="DDV",$F91="DDG",$F91="DD"),'Fleet Tech - Tech'!E$3,IF($F91="CL",'Fleet Tech - Tech'!E$4,IF($F91="CA",'Fleet Tech - Tech'!E$5,IF($F91="BC",'Fleet Tech - Tech'!E$6,IF($F91="BB",'Fleet Tech - Tech'!E$7,IF($F91="CVL",'Fleet Tech - Tech'!E$8,IF($F91="CV",'Fleet Tech - Tech'!E$9,IF($F91="SS",'Fleet Tech - Tech'!E$10,IF($F91="BBV",'Fleet Tech - Tech'!E$11,IF($F91="CB",'Fleet Tech - Tech'!E$15,IF($F91="AE",'Fleet Tech - Tech'!E$16,IF($F91="IX",'Fleet Tech - Tech'!E$17,IF($F91="BM",'Fleet Tech - Tech'!E$13,IF($F91="AR",'Fleet Tech - Tech'!E$12,IF($F91="SSV",'Fleet Tech - Tech'!E$14,"nil"))))))))))))))),0)</f>
        <v>0</v>
      </c>
      <c r="AY91" s="12">
        <f>IF($H91=3,IF(OR($F91="DDV",$F91="DDG",$F91="DD"),'Fleet Tech - Tech'!F$3,IF($F91="CL",'Fleet Tech - Tech'!F$4,IF($F91="CA",'Fleet Tech - Tech'!F$5,IF($F91="BC",'Fleet Tech - Tech'!F$6,IF($F91="BB",'Fleet Tech - Tech'!F$7,IF($F91="CVL",'Fleet Tech - Tech'!F$8,IF($F91="CV",'Fleet Tech - Tech'!F$9,IF($F91="SS",'Fleet Tech - Tech'!F$10,IF($F91="BBV",'Fleet Tech - Tech'!F$11,IF($F91="CB",'Fleet Tech - Tech'!F$15,IF($F91="AE",'Fleet Tech - Tech'!F$16,IF($F91="IX",'Fleet Tech - Tech'!F$17,IF($F91="BM",'Fleet Tech - Tech'!F$13,IF($F91="AR",'Fleet Tech - Tech'!F$12,IF($F91="SSV",'Fleet Tech - Tech'!F$14,"nil"))))))))))))))),0)</f>
        <v>0</v>
      </c>
      <c r="AZ91" s="12">
        <f>IF($H91=3,IF(OR($F91="DDV",$F91="DDG",$F91="DD"),'Fleet Tech - Tech'!G$3,IF($F91="CL",'Fleet Tech - Tech'!G$4,IF($F91="CA",'Fleet Tech - Tech'!G$5,IF($F91="BC",'Fleet Tech - Tech'!G$6,IF($F91="BB",'Fleet Tech - Tech'!G$7,IF($F91="CVL",'Fleet Tech - Tech'!G$8,IF($F91="CV",'Fleet Tech - Tech'!G$9,IF($F91="SS",'Fleet Tech - Tech'!G$10,IF($F91="BBV",'Fleet Tech - Tech'!G$11,IF($F91="CB",'Fleet Tech - Tech'!G$15,IF($F91="AE",'Fleet Tech - Tech'!G$16,IF($F91="IX",'Fleet Tech - Tech'!G$17,IF($F91="BM",'Fleet Tech - Tech'!G$13,IF($F91="AR",'Fleet Tech - Tech'!G$12,IF($F91="SSV",'Fleet Tech - Tech'!G$14,"nil"))))))))))))))),0)</f>
        <v>0</v>
      </c>
      <c r="BA91" s="12">
        <f>IF($H91=3,IF(OR($F91="DDV",$F91="DDG",$F91="DD"),'Fleet Tech - Tech'!H$3,IF($F91="CL",'Fleet Tech - Tech'!H$4,IF($F91="CA",'Fleet Tech - Tech'!H$5,IF($F91="BC",'Fleet Tech - Tech'!H$6,IF($F91="BB",'Fleet Tech - Tech'!H$7,IF($F91="CVL",'Fleet Tech - Tech'!H$8,IF($F91="CV",'Fleet Tech - Tech'!H$9,IF($F91="SS",'Fleet Tech - Tech'!H$10,IF($F91="BBV",'Fleet Tech - Tech'!H$11,IF($F91="CB",'Fleet Tech - Tech'!H$15,IF($F91="AE",'Fleet Tech - Tech'!H$16,IF($F91="IX",'Fleet Tech - Tech'!H$17,IF($F91="BM",'Fleet Tech - Tech'!H$13,IF($F91="AR",'Fleet Tech - Tech'!H$12,IF($F91="SSV",'Fleet Tech - Tech'!H$14,"nil"))))))))))))))),0)</f>
        <v>0</v>
      </c>
      <c r="BB91" s="12">
        <f>IF($H91=3,IF(OR($F91="DDV",$F91="DDG",$F91="DD"),'Fleet Tech - Tech'!I$3,IF($F91="CL",'Fleet Tech - Tech'!I$4,IF($F91="CA",'Fleet Tech - Tech'!I$5,IF($F91="BC",'Fleet Tech - Tech'!I$6,IF($F91="BB",'Fleet Tech - Tech'!I$7,IF($F91="CVL",'Fleet Tech - Tech'!I$8,IF($F91="CV",'Fleet Tech - Tech'!I$9,IF($F91="SS",'Fleet Tech - Tech'!I$10,IF($F91="BBV",'Fleet Tech - Tech'!I$11,IF($F91="CB",'Fleet Tech - Tech'!I$15,IF($F91="AE",'Fleet Tech - Tech'!I$16,IF($F91="IX",'Fleet Tech - Tech'!I$17,IF($F91="BM",'Fleet Tech - Tech'!I$13,IF($F91="AR",'Fleet Tech - Tech'!I$12,IF($F91="SSV",'Fleet Tech - Tech'!I$14,"nil"))))))))))))))),0)</f>
        <v>0</v>
      </c>
      <c r="BC91" s="12">
        <f>IF($H91=3,IF(OR($F91="DDV",$F91="DDG",$F91="DD"),'Fleet Tech - Tech'!J$3,IF($F91="CL",'Fleet Tech - Tech'!J$4,IF($F91="CA",'Fleet Tech - Tech'!J$5,IF($F91="BC",'Fleet Tech - Tech'!J$6,IF($F91="BB",'Fleet Tech - Tech'!J$7,IF($F91="CVL",'Fleet Tech - Tech'!J$8,IF($F91="CV",'Fleet Tech - Tech'!J$9,IF($F91="SS",'Fleet Tech - Tech'!J$10,IF($F91="BBV",'Fleet Tech - Tech'!J$11,IF($F91="CB",'Fleet Tech - Tech'!J$15,IF($F91="AE",'Fleet Tech - Tech'!J$16,IF($F91="IX",'Fleet Tech - Tech'!J$17,IF($F91="BM",'Fleet Tech - Tech'!J$13,IF($F91="AR",'Fleet Tech - Tech'!J$12,IF($F91="SSV",'Fleet Tech - Tech'!J$14,"nil"))))))))))))))),0)</f>
        <v>0</v>
      </c>
      <c r="BD91" s="12">
        <f>IF($H91=3,IF(OR($F91="DDV",$F91="DDG",$F91="DD"),'Fleet Tech - Tech'!K$3,IF($F91="CL",'Fleet Tech - Tech'!K$4,IF($F91="CA",'Fleet Tech - Tech'!K$5,IF($F91="BC",'Fleet Tech - Tech'!K$6,IF($F91="BB",'Fleet Tech - Tech'!K$7,IF($F91="CVL",'Fleet Tech - Tech'!K$8,IF($F91="CV",'Fleet Tech - Tech'!K$9,IF($F91="SS",'Fleet Tech - Tech'!K$10,IF($F91="BBV",'Fleet Tech - Tech'!K$11,IF($F91="CB",'Fleet Tech - Tech'!K$15,IF($F91="AE",'Fleet Tech - Tech'!K$16,IF($F91="IX",'Fleet Tech - Tech'!K$17,IF($F91="BM",'Fleet Tech - Tech'!K$13,IF($F91="AR",'Fleet Tech - Tech'!K$12,IF($F91="SSV",'Fleet Tech - Tech'!K$14,"nil"))))))))))))))),0)</f>
        <v>0</v>
      </c>
      <c r="BE91" s="12">
        <f>IF($H91=3,IF(OR($F91="DDV",$F91="DDG",$F91="DD"),'Fleet Tech - Tech'!L$3,IF($F91="CL",'Fleet Tech - Tech'!L$4,IF($F91="CA",'Fleet Tech - Tech'!L$5,IF($F91="BC",'Fleet Tech - Tech'!L$6,IF($F91="BB",'Fleet Tech - Tech'!L$7,IF($F91="CVL",'Fleet Tech - Tech'!L$8,IF($F91="CV",'Fleet Tech - Tech'!L$9,IF($F91="SS",'Fleet Tech - Tech'!L$10,IF($F91="BBV",'Fleet Tech - Tech'!L$11,IF($F91="CB",'Fleet Tech - Tech'!L$15,IF($F91="AE",'Fleet Tech - Tech'!L$16,IF($F91="IX",'Fleet Tech - Tech'!L$17,IF($F91="BM",'Fleet Tech - Tech'!L$13,IF($F91="AR",'Fleet Tech - Tech'!L$12,IF($F91="SSV",'Fleet Tech - Tech'!L$14,"nil"))))))))))))))),0)</f>
        <v>0</v>
      </c>
      <c r="BF91" s="12">
        <f>IF($H91=3,IF(OR($F91="DDV",$F91="DDG",$F91="DD"),'Fleet Tech - Tech'!M$3,IF($F91="CL",'Fleet Tech - Tech'!M$4,IF($F91="CA",'Fleet Tech - Tech'!M$5,IF($F91="BC",'Fleet Tech - Tech'!M$6,IF($F91="BB",'Fleet Tech - Tech'!M$7,IF($F91="CVL",'Fleet Tech - Tech'!M$8,IF($F91="CV",'Fleet Tech - Tech'!M$9,IF($F91="SS",'Fleet Tech - Tech'!M$10,IF($F91="BBV",'Fleet Tech - Tech'!M$11,IF($F91="CB",'Fleet Tech - Tech'!M$15,IF($F91="AE",'Fleet Tech - Tech'!M$16,IF($F91="IX",'Fleet Tech - Tech'!M$17,IF($F91="BM",'Fleet Tech - Tech'!M$13,IF($F91="AR",'Fleet Tech - Tech'!M$12,IF($F91="SSV",'Fleet Tech - Tech'!M$14,"nil"))))))))))))))),0)</f>
        <v>0</v>
      </c>
      <c r="BG91" s="12">
        <f>IF($H91=3,IF(OR($F91="DDV",$F91="DDG",$F91="DD"),'Fleet Tech - Tech'!N$3,IF($F91="CL",'Fleet Tech - Tech'!N$4,IF($F91="CA",'Fleet Tech - Tech'!N$5,IF($F91="BC",'Fleet Tech - Tech'!N$6,IF($F91="BB",'Fleet Tech - Tech'!N$7,IF($F91="CVL",'Fleet Tech - Tech'!N$8,IF($F91="CV",'Fleet Tech - Tech'!N$9,IF($F91="SS",'Fleet Tech - Tech'!N$10,IF($F91="BBV",'Fleet Tech - Tech'!N$11,IF($F91="CB",'Fleet Tech - Tech'!N$15,IF($F91="AE",'Fleet Tech - Tech'!N$16,IF($F91="IX",'Fleet Tech - Tech'!N$17,IF($F91="BM",'Fleet Tech - Tech'!N$13,IF($F91="AR",'Fleet Tech - Tech'!N$12,IF($F91="SSV",'Fleet Tech - Tech'!N$14,"nil"))))))))))))))),0)</f>
        <v>0</v>
      </c>
      <c r="BH91" s="28"/>
      <c r="BI91" s="12">
        <v>2494</v>
      </c>
      <c r="BJ91" s="12">
        <v>80</v>
      </c>
      <c r="BK91" s="12">
        <v>219</v>
      </c>
      <c r="BL91" s="12">
        <v>58</v>
      </c>
      <c r="BM91" s="12">
        <v>0</v>
      </c>
      <c r="BN91" s="12">
        <v>200</v>
      </c>
      <c r="BO91" s="12">
        <v>0</v>
      </c>
      <c r="BP91" s="12">
        <v>0</v>
      </c>
      <c r="BQ91" s="12">
        <v>34</v>
      </c>
      <c r="BR91" s="12">
        <v>9</v>
      </c>
      <c r="BS91" s="12">
        <v>91</v>
      </c>
      <c r="BT91" s="12">
        <v>49</v>
      </c>
      <c r="BU91" s="12">
        <v>89</v>
      </c>
      <c r="BV91" s="12">
        <v>335</v>
      </c>
      <c r="BW91" s="28"/>
      <c r="BX91" s="12">
        <v>-1</v>
      </c>
      <c r="BY91" s="12">
        <v>-1</v>
      </c>
      <c r="BZ91" s="12">
        <v>-1</v>
      </c>
      <c r="CA91" s="12">
        <v>-1</v>
      </c>
      <c r="CB91" s="12">
        <v>-1</v>
      </c>
      <c r="CC91" s="12">
        <v>-1</v>
      </c>
      <c r="CD91" s="12">
        <v>-1</v>
      </c>
      <c r="CE91" s="12">
        <v>-1</v>
      </c>
      <c r="CF91" s="12">
        <v>-1</v>
      </c>
      <c r="CG91" s="12">
        <v>-1</v>
      </c>
      <c r="CH91" s="12">
        <v>-1</v>
      </c>
      <c r="CI91" s="12">
        <v>-1</v>
      </c>
      <c r="CJ91" s="47"/>
      <c r="CK91" s="48">
        <f>IF(BX91=5,320,IF(BX91=4,195,IF(BX91=3,132,IF(BX91=2,90,IF(BX91=1,58,IF(BX91=-1,0,35))))))</f>
        <v>0</v>
      </c>
      <c r="CL91" s="48">
        <f>IF(BX91=5,20,IF(BX91=4,15,IF(BX91=3,12,IF(BX91=2,10,IF(BX91=1,8,IF(BX91=-1,0,5))))))</f>
        <v>0</v>
      </c>
      <c r="CM91" s="48">
        <f>IF(BZ91=5,320,IF(BZ91=4,195,IF(BZ91=3,132,IF(BZ91=2,90,IF(BZ91=1,58,IF(BZ91=-1,0,35))))))</f>
        <v>0</v>
      </c>
      <c r="CN91" s="48">
        <f>IF(BZ91=5,20,IF(BZ91=4,15,IF(BZ91=3,12,IF(BZ91=2,10,IF(BZ91=1,8,IF(BZ91=-1,0,5))))))</f>
        <v>0</v>
      </c>
      <c r="CO91" s="48">
        <f>IF(CB91=5,320,IF(CB91=4,195,IF(CB91=3,132,IF(CB91=2,90,IF(CB91=1,58,IF(CB91=-1,0,35))))))</f>
        <v>0</v>
      </c>
      <c r="CP91" s="48">
        <f>IF(CB91=5,20,IF(CB91=4,15,IF(CB91=3,12,IF(CB91=2,10,IF(CB91=1,8,IF(CB91=-1,0,5))))))</f>
        <v>0</v>
      </c>
      <c r="CQ91" s="48">
        <f>IF(CD91=5,320,IF(CD91=4,195,IF(CD91=3,132,IF(CD91=2,90,IF(CD91=1,58,IF(CD91=-1,0,35))))))</f>
        <v>0</v>
      </c>
      <c r="CR91" s="48">
        <f>IF(CD91=5,20,IF(CD91=4,15,IF(CD91=3,12,IF(CD91=2,10,IF(CD91=1,8,IF(CD91=-1,0,5))))))</f>
        <v>0</v>
      </c>
      <c r="CS91" s="48">
        <f>IF(CF91=5,320,IF(CF91=4,195,IF(CF91=3,132,IF(CF91=2,90,IF(CF91=1,58,IF(CF91=-1,0,35))))))</f>
        <v>0</v>
      </c>
      <c r="CT91" s="48">
        <f>IF(CF91=5,20,IF(CF91=4,15,IF(CF91=3,12,IF(CF91=2,10,IF(CF91=1,8,IF(CF91=-1,0,5))))))</f>
        <v>0</v>
      </c>
      <c r="CU91" s="48">
        <f>IF(CH91=5,320,IF(CH91=4,195,IF(CH91=3,132,IF(CH91=2,90,IF(CH91=1,58,IF(CH91=-1,0,35))))))</f>
        <v>0</v>
      </c>
      <c r="CV91" s="48">
        <f>IF(CH91=5,20,IF(CH91=4,15,IF(CH91=3,12,IF(CH91=2,10,IF(CH91=1,8,IF(CH91=-1,0,5))))))</f>
        <v>0</v>
      </c>
      <c r="CW91" s="48">
        <f>IF(BY91&gt;10,(BY91/10)-ROUNDDOWN(BY91/10,0),0)+IF(CA91&gt;10,(CA91/10)-ROUNDDOWN(CA91/10,0),0)+IF(CC91&gt;10,(CC91/10)-ROUNDDOWN(CC91/10,0),0)+IF(CE91&gt;10,(CE91/10)-ROUNDDOWN(CE91/10,0),0)+IF(CG91&gt;10,(CG91/10)-ROUNDDOWN(CG91/10,0),0)+IF(CI91&gt;10,(CI91/10)-ROUNDDOWN(CI91/10,0),0)</f>
        <v>0</v>
      </c>
      <c r="CX91" s="48">
        <f>1+(CW91/10)</f>
        <v>1</v>
      </c>
    </row>
    <row r="92" ht="20.05" customHeight="1">
      <c r="A92" t="s" s="43">
        <v>371</v>
      </c>
      <c r="B92" s="49"/>
      <c r="C92" t="s" s="45">
        <v>73</v>
      </c>
      <c r="D92" s="13">
        <v>7</v>
      </c>
      <c r="E92" t="s" s="15">
        <v>240</v>
      </c>
      <c r="F92" t="s" s="15">
        <v>241</v>
      </c>
      <c r="G92" t="s" s="15">
        <v>282</v>
      </c>
      <c r="H92" s="12">
        <v>0</v>
      </c>
      <c r="I92" t="s" s="15">
        <v>235</v>
      </c>
      <c r="J92" s="12">
        <v>40</v>
      </c>
      <c r="K92" t="s" s="14">
        <v>242</v>
      </c>
      <c r="L92" t="s" s="15">
        <v>265</v>
      </c>
      <c r="M92" t="s" s="15">
        <v>27</v>
      </c>
      <c r="N92" s="46">
        <f>ROUND((SUM(AA92,T92:Y92,AC92:AE92,Z92*10)-AB92*15)*(IF(K92="Heavy",0.15,IF(K92="Medium",0,IF(K92="Light",-0.15,10)))+1),0)</f>
        <v>432</v>
      </c>
      <c r="O92" s="46">
        <v>1157</v>
      </c>
      <c r="P92" s="46">
        <f>ROUNDDOWN((BI92+AU92+AG92)/5,0)+(BJ92+AV92+AH92)+(BN92+AZ92+AL92)+(BO92+BA92+AM92)+(BK92+AW92+AI92)+(BS92+BE92+AQ92)+(BL92+AX92+AJ92)+(BQ92+BC92+AO92)+(2*((BT92+BF92+AR92)+(BU92+BG92+AS92)))+(CK92+CM92+CO92+CQ92+CS92+CU92)+(CL92*BY92)+(CN92*CA92)+(CP92+CC92)+(CR92+CE92)+(CT92+CG92)+(CV92+CI92)+BV92</f>
        <v>1517</v>
      </c>
      <c r="Q92" s="46">
        <f>ROUNDDOWN(((S92/5)+T92+X92+Y92+U92+AC92+V92+AA92+(2*(AD92+AE92))+CK92+CM92+CO92+CQ92+CS92+CU92+(CL92*BX92)+(CN92*BZ92)+(CP92*CB92)+(CR92*CD92)+(CT92*CF92)+(CV92*CH92))*CX92,0)</f>
        <v>1193</v>
      </c>
      <c r="R92" s="46">
        <f>ROUNDDOWN(AVERAGE(P92:Q92),0)</f>
        <v>1355</v>
      </c>
      <c r="S92" s="12">
        <f>AG92+AU92+BI92</f>
        <v>2268</v>
      </c>
      <c r="T92" s="12">
        <f>AH92+AV92+BJ92</f>
        <v>0</v>
      </c>
      <c r="U92" s="12">
        <f>AI92+AW92+BK92</f>
        <v>114</v>
      </c>
      <c r="V92" s="12">
        <f>AJ92+AX92+BL92</f>
        <v>0</v>
      </c>
      <c r="W92" s="12">
        <f>AK92+AY92+BM92</f>
        <v>83</v>
      </c>
      <c r="X92" s="12">
        <f>AL92+AZ92+BN92</f>
        <v>0</v>
      </c>
      <c r="Y92" s="12">
        <f>AM92+BA92+BO92</f>
        <v>143</v>
      </c>
      <c r="Z92" s="12">
        <f>AN92+BB92+BP92</f>
        <v>0</v>
      </c>
      <c r="AA92" s="12">
        <f>AO92+BC92+BQ92</f>
        <v>33</v>
      </c>
      <c r="AB92" s="12">
        <f>AP92+BD92+BR92</f>
        <v>5</v>
      </c>
      <c r="AC92" s="12">
        <f>AQ92+BE92+BS92</f>
        <v>60</v>
      </c>
      <c r="AD92" s="12">
        <f>AR92+BF92+BT92</f>
        <v>25</v>
      </c>
      <c r="AE92" s="12">
        <f>AS92+BG92+BU92</f>
        <v>49</v>
      </c>
      <c r="AF92" s="28"/>
      <c r="AG92" s="12">
        <v>0</v>
      </c>
      <c r="AH92" s="12">
        <v>0</v>
      </c>
      <c r="AI92" s="12">
        <v>0</v>
      </c>
      <c r="AJ92" s="12">
        <v>0</v>
      </c>
      <c r="AK92" s="12">
        <v>0</v>
      </c>
      <c r="AL92" s="12">
        <v>0</v>
      </c>
      <c r="AM92" s="12">
        <v>22</v>
      </c>
      <c r="AN92" s="12">
        <v>0</v>
      </c>
      <c r="AO92" s="12">
        <v>0</v>
      </c>
      <c r="AP92" s="12">
        <v>0</v>
      </c>
      <c r="AQ92" s="12">
        <v>0</v>
      </c>
      <c r="AR92" s="12">
        <v>0</v>
      </c>
      <c r="AS92" s="12">
        <v>0</v>
      </c>
      <c r="AT92" s="28"/>
      <c r="AU92" s="12">
        <f>IF($H92=3,IF(OR($F92="DDV",$F92="DDG",$F92="DD"),'Fleet Tech - Tech'!B$3,IF($F92="CL",'Fleet Tech - Tech'!B$4,IF($F92="CA",'Fleet Tech - Tech'!B$5,IF($F92="BC",'Fleet Tech - Tech'!B$6,IF($F92="BB",'Fleet Tech - Tech'!B$7,IF($F92="CVL",'Fleet Tech - Tech'!B$8,IF($F92="CV",'Fleet Tech - Tech'!B$9,IF($F92="SS",'Fleet Tech - Tech'!B$10,IF($F92="BBV",'Fleet Tech - Tech'!B$11,IF($F92="CB",'Fleet Tech - Tech'!B$15,IF($F92="AE",'Fleet Tech - Tech'!B$16,IF($F92="IX",'Fleet Tech - Tech'!B$17,IF($F92="BM",'Fleet Tech - Tech'!B$13,IF($F92="AR",'Fleet Tech - Tech'!B$12,IF($F92="SSV",'Fleet Tech - Tech'!B$14,"nil"))))))))))))))),0)</f>
        <v>0</v>
      </c>
      <c r="AV92" s="12">
        <f>IF($H92=3,IF(OR($F92="DDV",$F92="DDG",$F92="DD"),'Fleet Tech - Tech'!C$3,IF($F92="CL",'Fleet Tech - Tech'!C$4,IF($F92="CA",'Fleet Tech - Tech'!C$5,IF($F92="BC",'Fleet Tech - Tech'!C$6,IF($F92="BB",'Fleet Tech - Tech'!C$7,IF($F92="CVL",'Fleet Tech - Tech'!C$8,IF($F92="CV",'Fleet Tech - Tech'!C$9,IF($F92="SS",'Fleet Tech - Tech'!C$10,IF($F92="BBV",'Fleet Tech - Tech'!C$11,IF($F92="CB",'Fleet Tech - Tech'!C$15,IF($F92="AE",'Fleet Tech - Tech'!C$16,IF($F92="IX",'Fleet Tech - Tech'!C$17,IF($F92="BM",'Fleet Tech - Tech'!C$13,IF($F92="AR",'Fleet Tech - Tech'!C$12,IF($F92="SSV",'Fleet Tech - Tech'!C$14,"nil"))))))))))))))),0)</f>
        <v>0</v>
      </c>
      <c r="AW92" s="12">
        <f>IF($H92=3,IF(OR($F92="DDV",$F92="DDG",$F92="DD"),'Fleet Tech - Tech'!D$3,IF($F92="CL",'Fleet Tech - Tech'!D$4,IF($F92="CA",'Fleet Tech - Tech'!D$5,IF($F92="BC",'Fleet Tech - Tech'!D$6,IF($F92="BB",'Fleet Tech - Tech'!D$7,IF($F92="CVL",'Fleet Tech - Tech'!D$8,IF($F92="CV",'Fleet Tech - Tech'!D$9,IF($F92="SS",'Fleet Tech - Tech'!D$10,IF($F92="BBV",'Fleet Tech - Tech'!D$11,IF($F92="CB",'Fleet Tech - Tech'!D$15,IF($F92="AE",'Fleet Tech - Tech'!D$16,IF($F92="IX",'Fleet Tech - Tech'!D$17,IF($F92="BM",'Fleet Tech - Tech'!D$13,IF($F92="AR",'Fleet Tech - Tech'!D$12,IF($F92="SSV",'Fleet Tech - Tech'!D$14,"nil"))))))))))))))),0)</f>
        <v>0</v>
      </c>
      <c r="AX92" s="12">
        <f>IF($H92=3,IF(OR($F92="DDV",$F92="DDG",$F92="DD"),'Fleet Tech - Tech'!E$3,IF($F92="CL",'Fleet Tech - Tech'!E$4,IF($F92="CA",'Fleet Tech - Tech'!E$5,IF($F92="BC",'Fleet Tech - Tech'!E$6,IF($F92="BB",'Fleet Tech - Tech'!E$7,IF($F92="CVL",'Fleet Tech - Tech'!E$8,IF($F92="CV",'Fleet Tech - Tech'!E$9,IF($F92="SS",'Fleet Tech - Tech'!E$10,IF($F92="BBV",'Fleet Tech - Tech'!E$11,IF($F92="CB",'Fleet Tech - Tech'!E$15,IF($F92="AE",'Fleet Tech - Tech'!E$16,IF($F92="IX",'Fleet Tech - Tech'!E$17,IF($F92="BM",'Fleet Tech - Tech'!E$13,IF($F92="AR",'Fleet Tech - Tech'!E$12,IF($F92="SSV",'Fleet Tech - Tech'!E$14,"nil"))))))))))))))),0)</f>
        <v>0</v>
      </c>
      <c r="AY92" s="12">
        <f>IF($H92=3,IF(OR($F92="DDV",$F92="DDG",$F92="DD"),'Fleet Tech - Tech'!F$3,IF($F92="CL",'Fleet Tech - Tech'!F$4,IF($F92="CA",'Fleet Tech - Tech'!F$5,IF($F92="BC",'Fleet Tech - Tech'!F$6,IF($F92="BB",'Fleet Tech - Tech'!F$7,IF($F92="CVL",'Fleet Tech - Tech'!F$8,IF($F92="CV",'Fleet Tech - Tech'!F$9,IF($F92="SS",'Fleet Tech - Tech'!F$10,IF($F92="BBV",'Fleet Tech - Tech'!F$11,IF($F92="CB",'Fleet Tech - Tech'!F$15,IF($F92="AE",'Fleet Tech - Tech'!F$16,IF($F92="IX",'Fleet Tech - Tech'!F$17,IF($F92="BM",'Fleet Tech - Tech'!F$13,IF($F92="AR",'Fleet Tech - Tech'!F$12,IF($F92="SSV",'Fleet Tech - Tech'!F$14,"nil"))))))))))))))),0)</f>
        <v>0</v>
      </c>
      <c r="AZ92" s="12">
        <f>IF($H92=3,IF(OR($F92="DDV",$F92="DDG",$F92="DD"),'Fleet Tech - Tech'!G$3,IF($F92="CL",'Fleet Tech - Tech'!G$4,IF($F92="CA",'Fleet Tech - Tech'!G$5,IF($F92="BC",'Fleet Tech - Tech'!G$6,IF($F92="BB",'Fleet Tech - Tech'!G$7,IF($F92="CVL",'Fleet Tech - Tech'!G$8,IF($F92="CV",'Fleet Tech - Tech'!G$9,IF($F92="SS",'Fleet Tech - Tech'!G$10,IF($F92="BBV",'Fleet Tech - Tech'!G$11,IF($F92="CB",'Fleet Tech - Tech'!G$15,IF($F92="AE",'Fleet Tech - Tech'!G$16,IF($F92="IX",'Fleet Tech - Tech'!G$17,IF($F92="BM",'Fleet Tech - Tech'!G$13,IF($F92="AR",'Fleet Tech - Tech'!G$12,IF($F92="SSV",'Fleet Tech - Tech'!G$14,"nil"))))))))))))))),0)</f>
        <v>0</v>
      </c>
      <c r="BA92" s="12">
        <f>IF($H92=3,IF(OR($F92="DDV",$F92="DDG",$F92="DD"),'Fleet Tech - Tech'!H$3,IF($F92="CL",'Fleet Tech - Tech'!H$4,IF($F92="CA",'Fleet Tech - Tech'!H$5,IF($F92="BC",'Fleet Tech - Tech'!H$6,IF($F92="BB",'Fleet Tech - Tech'!H$7,IF($F92="CVL",'Fleet Tech - Tech'!H$8,IF($F92="CV",'Fleet Tech - Tech'!H$9,IF($F92="SS",'Fleet Tech - Tech'!H$10,IF($F92="BBV",'Fleet Tech - Tech'!H$11,IF($F92="CB",'Fleet Tech - Tech'!H$15,IF($F92="AE",'Fleet Tech - Tech'!H$16,IF($F92="IX",'Fleet Tech - Tech'!H$17,IF($F92="BM",'Fleet Tech - Tech'!H$13,IF($F92="AR",'Fleet Tech - Tech'!H$12,IF($F92="SSV",'Fleet Tech - Tech'!H$14,"nil"))))))))))))))),0)</f>
        <v>0</v>
      </c>
      <c r="BB92" s="12">
        <f>IF($H92=3,IF(OR($F92="DDV",$F92="DDG",$F92="DD"),'Fleet Tech - Tech'!I$3,IF($F92="CL",'Fleet Tech - Tech'!I$4,IF($F92="CA",'Fleet Tech - Tech'!I$5,IF($F92="BC",'Fleet Tech - Tech'!I$6,IF($F92="BB",'Fleet Tech - Tech'!I$7,IF($F92="CVL",'Fleet Tech - Tech'!I$8,IF($F92="CV",'Fleet Tech - Tech'!I$9,IF($F92="SS",'Fleet Tech - Tech'!I$10,IF($F92="BBV",'Fleet Tech - Tech'!I$11,IF($F92="CB",'Fleet Tech - Tech'!I$15,IF($F92="AE",'Fleet Tech - Tech'!I$16,IF($F92="IX",'Fleet Tech - Tech'!I$17,IF($F92="BM",'Fleet Tech - Tech'!I$13,IF($F92="AR",'Fleet Tech - Tech'!I$12,IF($F92="SSV",'Fleet Tech - Tech'!I$14,"nil"))))))))))))))),0)</f>
        <v>0</v>
      </c>
      <c r="BC92" s="12">
        <f>IF($H92=3,IF(OR($F92="DDV",$F92="DDG",$F92="DD"),'Fleet Tech - Tech'!J$3,IF($F92="CL",'Fleet Tech - Tech'!J$4,IF($F92="CA",'Fleet Tech - Tech'!J$5,IF($F92="BC",'Fleet Tech - Tech'!J$6,IF($F92="BB",'Fleet Tech - Tech'!J$7,IF($F92="CVL",'Fleet Tech - Tech'!J$8,IF($F92="CV",'Fleet Tech - Tech'!J$9,IF($F92="SS",'Fleet Tech - Tech'!J$10,IF($F92="BBV",'Fleet Tech - Tech'!J$11,IF($F92="CB",'Fleet Tech - Tech'!J$15,IF($F92="AE",'Fleet Tech - Tech'!J$16,IF($F92="IX",'Fleet Tech - Tech'!J$17,IF($F92="BM",'Fleet Tech - Tech'!J$13,IF($F92="AR",'Fleet Tech - Tech'!J$12,IF($F92="SSV",'Fleet Tech - Tech'!J$14,"nil"))))))))))))))),0)</f>
        <v>0</v>
      </c>
      <c r="BD92" s="12">
        <f>IF($H92=3,IF(OR($F92="DDV",$F92="DDG",$F92="DD"),'Fleet Tech - Tech'!K$3,IF($F92="CL",'Fleet Tech - Tech'!K$4,IF($F92="CA",'Fleet Tech - Tech'!K$5,IF($F92="BC",'Fleet Tech - Tech'!K$6,IF($F92="BB",'Fleet Tech - Tech'!K$7,IF($F92="CVL",'Fleet Tech - Tech'!K$8,IF($F92="CV",'Fleet Tech - Tech'!K$9,IF($F92="SS",'Fleet Tech - Tech'!K$10,IF($F92="BBV",'Fleet Tech - Tech'!K$11,IF($F92="CB",'Fleet Tech - Tech'!K$15,IF($F92="AE",'Fleet Tech - Tech'!K$16,IF($F92="IX",'Fleet Tech - Tech'!K$17,IF($F92="BM",'Fleet Tech - Tech'!K$13,IF($F92="AR",'Fleet Tech - Tech'!K$12,IF($F92="SSV",'Fleet Tech - Tech'!K$14,"nil"))))))))))))))),0)</f>
        <v>0</v>
      </c>
      <c r="BE92" s="12">
        <f>IF($H92=3,IF(OR($F92="DDV",$F92="DDG",$F92="DD"),'Fleet Tech - Tech'!L$3,IF($F92="CL",'Fleet Tech - Tech'!L$4,IF($F92="CA",'Fleet Tech - Tech'!L$5,IF($F92="BC",'Fleet Tech - Tech'!L$6,IF($F92="BB",'Fleet Tech - Tech'!L$7,IF($F92="CVL",'Fleet Tech - Tech'!L$8,IF($F92="CV",'Fleet Tech - Tech'!L$9,IF($F92="SS",'Fleet Tech - Tech'!L$10,IF($F92="BBV",'Fleet Tech - Tech'!L$11,IF($F92="CB",'Fleet Tech - Tech'!L$15,IF($F92="AE",'Fleet Tech - Tech'!L$16,IF($F92="IX",'Fleet Tech - Tech'!L$17,IF($F92="BM",'Fleet Tech - Tech'!L$13,IF($F92="AR",'Fleet Tech - Tech'!L$12,IF($F92="SSV",'Fleet Tech - Tech'!L$14,"nil"))))))))))))))),0)</f>
        <v>0</v>
      </c>
      <c r="BF92" s="12">
        <f>IF($H92=3,IF(OR($F92="DDV",$F92="DDG",$F92="DD"),'Fleet Tech - Tech'!M$3,IF($F92="CL",'Fleet Tech - Tech'!M$4,IF($F92="CA",'Fleet Tech - Tech'!M$5,IF($F92="BC",'Fleet Tech - Tech'!M$6,IF($F92="BB",'Fleet Tech - Tech'!M$7,IF($F92="CVL",'Fleet Tech - Tech'!M$8,IF($F92="CV",'Fleet Tech - Tech'!M$9,IF($F92="SS",'Fleet Tech - Tech'!M$10,IF($F92="BBV",'Fleet Tech - Tech'!M$11,IF($F92="CB",'Fleet Tech - Tech'!M$15,IF($F92="AE",'Fleet Tech - Tech'!M$16,IF($F92="IX",'Fleet Tech - Tech'!M$17,IF($F92="BM",'Fleet Tech - Tech'!M$13,IF($F92="AR",'Fleet Tech - Tech'!M$12,IF($F92="SSV",'Fleet Tech - Tech'!M$14,"nil"))))))))))))))),0)</f>
        <v>0</v>
      </c>
      <c r="BG92" s="12">
        <f>IF($H92=3,IF(OR($F92="DDV",$F92="DDG",$F92="DD"),'Fleet Tech - Tech'!N$3,IF($F92="CL",'Fleet Tech - Tech'!N$4,IF($F92="CA",'Fleet Tech - Tech'!N$5,IF($F92="BC",'Fleet Tech - Tech'!N$6,IF($F92="BB",'Fleet Tech - Tech'!N$7,IF($F92="CVL",'Fleet Tech - Tech'!N$8,IF($F92="CV",'Fleet Tech - Tech'!N$9,IF($F92="SS",'Fleet Tech - Tech'!N$10,IF($F92="BBV",'Fleet Tech - Tech'!N$11,IF($F92="CB",'Fleet Tech - Tech'!N$15,IF($F92="AE",'Fleet Tech - Tech'!N$16,IF($F92="IX",'Fleet Tech - Tech'!N$17,IF($F92="BM",'Fleet Tech - Tech'!N$13,IF($F92="AR",'Fleet Tech - Tech'!N$12,IF($F92="SSV",'Fleet Tech - Tech'!N$14,"nil"))))))))))))))),0)</f>
        <v>0</v>
      </c>
      <c r="BH92" s="28"/>
      <c r="BI92" s="12">
        <v>2268</v>
      </c>
      <c r="BJ92" s="12">
        <v>0</v>
      </c>
      <c r="BK92" s="12">
        <v>114</v>
      </c>
      <c r="BL92" s="12">
        <v>0</v>
      </c>
      <c r="BM92" s="12">
        <v>83</v>
      </c>
      <c r="BN92" s="12">
        <v>0</v>
      </c>
      <c r="BO92" s="12">
        <v>121</v>
      </c>
      <c r="BP92" s="12">
        <v>0</v>
      </c>
      <c r="BQ92" s="12">
        <v>33</v>
      </c>
      <c r="BR92" s="12">
        <v>5</v>
      </c>
      <c r="BS92" s="12">
        <v>60</v>
      </c>
      <c r="BT92" s="12">
        <v>25</v>
      </c>
      <c r="BU92" s="12">
        <v>49</v>
      </c>
      <c r="BV92" s="12">
        <v>355</v>
      </c>
      <c r="BW92" s="28"/>
      <c r="BX92" s="12">
        <v>2</v>
      </c>
      <c r="BY92" s="12">
        <v>0</v>
      </c>
      <c r="BZ92" s="12">
        <v>1</v>
      </c>
      <c r="CA92" s="12">
        <v>0</v>
      </c>
      <c r="CB92" s="12">
        <v>1</v>
      </c>
      <c r="CC92" s="12">
        <v>0</v>
      </c>
      <c r="CD92" s="12">
        <v>-1</v>
      </c>
      <c r="CE92" s="12">
        <v>-1</v>
      </c>
      <c r="CF92" s="12">
        <v>-1</v>
      </c>
      <c r="CG92" s="12">
        <v>-1</v>
      </c>
      <c r="CH92" s="12">
        <v>-1</v>
      </c>
      <c r="CI92" s="12">
        <v>-1</v>
      </c>
      <c r="CJ92" s="47"/>
      <c r="CK92" s="48">
        <f>IF(BX92=5,320,IF(BX92=4,195,IF(BX92=3,132,IF(BX92=2,90,IF(BX92=1,58,IF(BX92=-1,0,35))))))</f>
        <v>90</v>
      </c>
      <c r="CL92" s="48">
        <f>IF(BX92=5,20,IF(BX92=4,15,IF(BX92=3,12,IF(BX92=2,10,IF(BX92=1,8,IF(BX92=-1,0,5))))))</f>
        <v>10</v>
      </c>
      <c r="CM92" s="48">
        <f>IF(BZ92=5,320,IF(BZ92=4,195,IF(BZ92=3,132,IF(BZ92=2,90,IF(BZ92=1,58,IF(BZ92=-1,0,35))))))</f>
        <v>58</v>
      </c>
      <c r="CN92" s="48">
        <f>IF(BZ92=5,20,IF(BZ92=4,15,IF(BZ92=3,12,IF(BZ92=2,10,IF(BZ92=1,8,IF(BZ92=-1,0,5))))))</f>
        <v>8</v>
      </c>
      <c r="CO92" s="48">
        <f>IF(CB92=5,320,IF(CB92=4,195,IF(CB92=3,132,IF(CB92=2,90,IF(CB92=1,58,IF(CB92=-1,0,35))))))</f>
        <v>58</v>
      </c>
      <c r="CP92" s="48">
        <f>IF(CB92=5,20,IF(CB92=4,15,IF(CB92=3,12,IF(CB92=2,10,IF(CB92=1,8,IF(CB92=-1,0,5))))))</f>
        <v>8</v>
      </c>
      <c r="CQ92" s="48">
        <f>IF(CD92=5,320,IF(CD92=4,195,IF(CD92=3,132,IF(CD92=2,90,IF(CD92=1,58,IF(CD92=-1,0,35))))))</f>
        <v>0</v>
      </c>
      <c r="CR92" s="48">
        <f>IF(CD92=5,20,IF(CD92=4,15,IF(CD92=3,12,IF(CD92=2,10,IF(CD92=1,8,IF(CD92=-1,0,5))))))</f>
        <v>0</v>
      </c>
      <c r="CS92" s="48">
        <f>IF(CF92=5,320,IF(CF92=4,195,IF(CF92=3,132,IF(CF92=2,90,IF(CF92=1,58,IF(CF92=-1,0,35))))))</f>
        <v>0</v>
      </c>
      <c r="CT92" s="48">
        <f>IF(CF92=5,20,IF(CF92=4,15,IF(CF92=3,12,IF(CF92=2,10,IF(CF92=1,8,IF(CF92=-1,0,5))))))</f>
        <v>0</v>
      </c>
      <c r="CU92" s="48">
        <f>IF(CH92=5,320,IF(CH92=4,195,IF(CH92=3,132,IF(CH92=2,90,IF(CH92=1,58,IF(CH92=-1,0,35))))))</f>
        <v>0</v>
      </c>
      <c r="CV92" s="48">
        <f>IF(CH92=5,20,IF(CH92=4,15,IF(CH92=3,12,IF(CH92=2,10,IF(CH92=1,8,IF(CH92=-1,0,5))))))</f>
        <v>0</v>
      </c>
      <c r="CW92" s="48">
        <f>IF(BY92&gt;10,(BY92/10)-ROUNDDOWN(BY92/10,0),0)+IF(CA92&gt;10,(CA92/10)-ROUNDDOWN(CA92/10,0),0)+IF(CC92&gt;10,(CC92/10)-ROUNDDOWN(CC92/10,0),0)+IF(CE92&gt;10,(CE92/10)-ROUNDDOWN(CE92/10,0),0)+IF(CG92&gt;10,(CG92/10)-ROUNDDOWN(CG92/10,0),0)+IF(CI92&gt;10,(CI92/10)-ROUNDDOWN(CI92/10,0),0)</f>
        <v>0</v>
      </c>
      <c r="CX92" s="48">
        <f>1+(CW92/10)</f>
        <v>1</v>
      </c>
    </row>
    <row r="93" ht="20.05" customHeight="1">
      <c r="A93" t="s" s="43">
        <v>372</v>
      </c>
      <c r="B93" s="49"/>
      <c r="C93" t="s" s="45">
        <v>73</v>
      </c>
      <c r="D93" s="13">
        <v>7</v>
      </c>
      <c r="E93" t="s" s="15">
        <v>232</v>
      </c>
      <c r="F93" t="s" s="15">
        <v>284</v>
      </c>
      <c r="G93" t="s" s="15">
        <v>282</v>
      </c>
      <c r="H93" s="12">
        <v>0</v>
      </c>
      <c r="I93" t="s" s="15">
        <v>300</v>
      </c>
      <c r="J93" s="12">
        <v>38</v>
      </c>
      <c r="K93" t="s" s="14">
        <v>236</v>
      </c>
      <c r="L93" t="s" s="15">
        <v>237</v>
      </c>
      <c r="M93" t="s" s="15">
        <v>19</v>
      </c>
      <c r="N93" s="46">
        <f>ROUND((SUM(AA93,T93:Y93,AC93:AE93,Z93*10)-AB93*15)*(IF(K93="Heavy",0.15,IF(K93="Medium",0,IF(K93="Light",-0.15,10)))+1),0)</f>
        <v>543</v>
      </c>
      <c r="O93" s="46">
        <v>1160</v>
      </c>
      <c r="P93" s="46">
        <f>ROUNDDOWN((BI93+AU93+AG93)/5,0)+(BJ93+AV93+AH93)+(BN93+AZ93+AL93)+(BO93+BA93+AM93)+(BK93+AW93+AI93)+(BS93+BE93+AQ93)+(BL93+AX93+AJ93)+(BQ93+BC93+AO93)+(2*((BT93+BF93+AR93)+(BU93+BG93+AS93)))+(CK93+CM93+CO93+CQ93+CS93+CU93)+(CL93*BY93)+(CN93*CA93)+(CP93+CC93)+(CR93+CE93)+(CT93+CG93)+(CV93+CI93)+BV93</f>
        <v>1491</v>
      </c>
      <c r="Q93" s="46">
        <f>ROUNDDOWN(((S93/5)+T93+X93+Y93+U93+AC93+V93+AA93+(2*(AD93+AE93))+CK93+CM93+CO93+CQ93+CS93+CU93+(CL93*BX93)+(CN93*BZ93)+(CP93*CB93)+(CR93*CD93)+(CT93*CF93)+(CV93*CH93))*CX93,0)</f>
        <v>1188</v>
      </c>
      <c r="R93" s="46">
        <f>ROUNDDOWN(AVERAGE(P93:Q93),0)</f>
        <v>1339</v>
      </c>
      <c r="S93" s="12">
        <f>AG93+AU93+BI93</f>
        <v>689</v>
      </c>
      <c r="T93" s="12">
        <f>AH93+AV93+BJ93</f>
        <v>23</v>
      </c>
      <c r="U93" s="12">
        <f>AI93+AW93+BK93</f>
        <v>50</v>
      </c>
      <c r="V93" s="12">
        <f>AJ93+AX93+BL93</f>
        <v>69</v>
      </c>
      <c r="W93" s="12">
        <f>AK93+AY93+BM93</f>
        <v>18</v>
      </c>
      <c r="X93" s="12">
        <f>AL93+AZ93+BN93</f>
        <v>151</v>
      </c>
      <c r="Y93" s="12">
        <f>AM93+BA93+BO93</f>
        <v>0</v>
      </c>
      <c r="Z93" s="12">
        <f>AN93+BB93+BP93</f>
        <v>0</v>
      </c>
      <c r="AA93" s="12">
        <f>AO93+BC93+BQ93</f>
        <v>42</v>
      </c>
      <c r="AB93" s="12">
        <f>AP93+BD93+BR93</f>
        <v>2</v>
      </c>
      <c r="AC93" s="12">
        <f>AQ93+BE93+BS93</f>
        <v>92</v>
      </c>
      <c r="AD93" s="12">
        <f>AR93+BF93+BT93</f>
        <v>119</v>
      </c>
      <c r="AE93" s="12">
        <f>AS93+BG93+BU93</f>
        <v>105</v>
      </c>
      <c r="AF93" s="28"/>
      <c r="AG93" s="12">
        <v>0</v>
      </c>
      <c r="AH93" s="12">
        <v>5</v>
      </c>
      <c r="AI93" s="12">
        <v>0</v>
      </c>
      <c r="AJ93" s="12">
        <v>0</v>
      </c>
      <c r="AK93" s="12">
        <v>0</v>
      </c>
      <c r="AL93" s="12">
        <v>12</v>
      </c>
      <c r="AM93" s="12">
        <v>0</v>
      </c>
      <c r="AN93" s="12">
        <v>0</v>
      </c>
      <c r="AO93" s="12">
        <v>0</v>
      </c>
      <c r="AP93" s="12">
        <v>0</v>
      </c>
      <c r="AQ93" s="12">
        <v>0</v>
      </c>
      <c r="AR93" s="12">
        <v>0</v>
      </c>
      <c r="AS93" s="12">
        <v>0</v>
      </c>
      <c r="AT93" s="28"/>
      <c r="AU93" s="12">
        <f>IF($H93=3,IF(OR($F93="DDV",$F93="DDG",$F93="DD"),'Fleet Tech - Tech'!B$3,IF($F93="CL",'Fleet Tech - Tech'!B$4,IF($F93="CA",'Fleet Tech - Tech'!B$5,IF($F93="BC",'Fleet Tech - Tech'!B$6,IF($F93="BB",'Fleet Tech - Tech'!B$7,IF($F93="CVL",'Fleet Tech - Tech'!B$8,IF($F93="CV",'Fleet Tech - Tech'!B$9,IF($F93="SS",'Fleet Tech - Tech'!B$10,IF($F93="BBV",'Fleet Tech - Tech'!B$11,IF($F93="CB",'Fleet Tech - Tech'!B$15,IF($F93="AE",'Fleet Tech - Tech'!B$16,IF($F93="IX",'Fleet Tech - Tech'!B$17,IF($F93="BM",'Fleet Tech - Tech'!B$13,IF($F93="AR",'Fleet Tech - Tech'!B$12,IF($F93="SSV",'Fleet Tech - Tech'!B$14,"nil"))))))))))))))),0)</f>
        <v>0</v>
      </c>
      <c r="AV93" s="12">
        <f>IF($H93=3,IF(OR($F93="DDV",$F93="DDG",$F93="DD"),'Fleet Tech - Tech'!C$3,IF($F93="CL",'Fleet Tech - Tech'!C$4,IF($F93="CA",'Fleet Tech - Tech'!C$5,IF($F93="BC",'Fleet Tech - Tech'!C$6,IF($F93="BB",'Fleet Tech - Tech'!C$7,IF($F93="CVL",'Fleet Tech - Tech'!C$8,IF($F93="CV",'Fleet Tech - Tech'!C$9,IF($F93="SS",'Fleet Tech - Tech'!C$10,IF($F93="BBV",'Fleet Tech - Tech'!C$11,IF($F93="CB",'Fleet Tech - Tech'!C$15,IF($F93="AE",'Fleet Tech - Tech'!C$16,IF($F93="IX",'Fleet Tech - Tech'!C$17,IF($F93="BM",'Fleet Tech - Tech'!C$13,IF($F93="AR",'Fleet Tech - Tech'!C$12,IF($F93="SSV",'Fleet Tech - Tech'!C$14,"nil"))))))))))))))),0)</f>
        <v>0</v>
      </c>
      <c r="AW93" s="12">
        <f>IF($H93=3,IF(OR($F93="DDV",$F93="DDG",$F93="DD"),'Fleet Tech - Tech'!D$3,IF($F93="CL",'Fleet Tech - Tech'!D$4,IF($F93="CA",'Fleet Tech - Tech'!D$5,IF($F93="BC",'Fleet Tech - Tech'!D$6,IF($F93="BB",'Fleet Tech - Tech'!D$7,IF($F93="CVL",'Fleet Tech - Tech'!D$8,IF($F93="CV",'Fleet Tech - Tech'!D$9,IF($F93="SS",'Fleet Tech - Tech'!D$10,IF($F93="BBV",'Fleet Tech - Tech'!D$11,IF($F93="CB",'Fleet Tech - Tech'!D$15,IF($F93="AE",'Fleet Tech - Tech'!D$16,IF($F93="IX",'Fleet Tech - Tech'!D$17,IF($F93="BM",'Fleet Tech - Tech'!D$13,IF($F93="AR",'Fleet Tech - Tech'!D$12,IF($F93="SSV",'Fleet Tech - Tech'!D$14,"nil"))))))))))))))),0)</f>
        <v>0</v>
      </c>
      <c r="AX93" s="12">
        <f>IF($H93=3,IF(OR($F93="DDV",$F93="DDG",$F93="DD"),'Fleet Tech - Tech'!E$3,IF($F93="CL",'Fleet Tech - Tech'!E$4,IF($F93="CA",'Fleet Tech - Tech'!E$5,IF($F93="BC",'Fleet Tech - Tech'!E$6,IF($F93="BB",'Fleet Tech - Tech'!E$7,IF($F93="CVL",'Fleet Tech - Tech'!E$8,IF($F93="CV",'Fleet Tech - Tech'!E$9,IF($F93="SS",'Fleet Tech - Tech'!E$10,IF($F93="BBV",'Fleet Tech - Tech'!E$11,IF($F93="CB",'Fleet Tech - Tech'!E$15,IF($F93="AE",'Fleet Tech - Tech'!E$16,IF($F93="IX",'Fleet Tech - Tech'!E$17,IF($F93="BM",'Fleet Tech - Tech'!E$13,IF($F93="AR",'Fleet Tech - Tech'!E$12,IF($F93="SSV",'Fleet Tech - Tech'!E$14,"nil"))))))))))))))),0)</f>
        <v>0</v>
      </c>
      <c r="AY93" s="12">
        <f>IF($H93=3,IF(OR($F93="DDV",$F93="DDG",$F93="DD"),'Fleet Tech - Tech'!F$3,IF($F93="CL",'Fleet Tech - Tech'!F$4,IF($F93="CA",'Fleet Tech - Tech'!F$5,IF($F93="BC",'Fleet Tech - Tech'!F$6,IF($F93="BB",'Fleet Tech - Tech'!F$7,IF($F93="CVL",'Fleet Tech - Tech'!F$8,IF($F93="CV",'Fleet Tech - Tech'!F$9,IF($F93="SS",'Fleet Tech - Tech'!F$10,IF($F93="BBV",'Fleet Tech - Tech'!F$11,IF($F93="CB",'Fleet Tech - Tech'!F$15,IF($F93="AE",'Fleet Tech - Tech'!F$16,IF($F93="IX",'Fleet Tech - Tech'!F$17,IF($F93="BM",'Fleet Tech - Tech'!F$13,IF($F93="AR",'Fleet Tech - Tech'!F$12,IF($F93="SSV",'Fleet Tech - Tech'!F$14,"nil"))))))))))))))),0)</f>
        <v>0</v>
      </c>
      <c r="AZ93" s="12">
        <f>IF($H93=3,IF(OR($F93="DDV",$F93="DDG",$F93="DD"),'Fleet Tech - Tech'!G$3,IF($F93="CL",'Fleet Tech - Tech'!G$4,IF($F93="CA",'Fleet Tech - Tech'!G$5,IF($F93="BC",'Fleet Tech - Tech'!G$6,IF($F93="BB",'Fleet Tech - Tech'!G$7,IF($F93="CVL",'Fleet Tech - Tech'!G$8,IF($F93="CV",'Fleet Tech - Tech'!G$9,IF($F93="SS",'Fleet Tech - Tech'!G$10,IF($F93="BBV",'Fleet Tech - Tech'!G$11,IF($F93="CB",'Fleet Tech - Tech'!G$15,IF($F93="AE",'Fleet Tech - Tech'!G$16,IF($F93="IX",'Fleet Tech - Tech'!G$17,IF($F93="BM",'Fleet Tech - Tech'!G$13,IF($F93="AR",'Fleet Tech - Tech'!G$12,IF($F93="SSV",'Fleet Tech - Tech'!G$14,"nil"))))))))))))))),0)</f>
        <v>0</v>
      </c>
      <c r="BA93" s="12">
        <f>IF($H93=3,IF(OR($F93="DDV",$F93="DDG",$F93="DD"),'Fleet Tech - Tech'!H$3,IF($F93="CL",'Fleet Tech - Tech'!H$4,IF($F93="CA",'Fleet Tech - Tech'!H$5,IF($F93="BC",'Fleet Tech - Tech'!H$6,IF($F93="BB",'Fleet Tech - Tech'!H$7,IF($F93="CVL",'Fleet Tech - Tech'!H$8,IF($F93="CV",'Fleet Tech - Tech'!H$9,IF($F93="SS",'Fleet Tech - Tech'!H$10,IF($F93="BBV",'Fleet Tech - Tech'!H$11,IF($F93="CB",'Fleet Tech - Tech'!H$15,IF($F93="AE",'Fleet Tech - Tech'!H$16,IF($F93="IX",'Fleet Tech - Tech'!H$17,IF($F93="BM",'Fleet Tech - Tech'!H$13,IF($F93="AR",'Fleet Tech - Tech'!H$12,IF($F93="SSV",'Fleet Tech - Tech'!H$14,"nil"))))))))))))))),0)</f>
        <v>0</v>
      </c>
      <c r="BB93" s="12">
        <f>IF($H93=3,IF(OR($F93="DDV",$F93="DDG",$F93="DD"),'Fleet Tech - Tech'!I$3,IF($F93="CL",'Fleet Tech - Tech'!I$4,IF($F93="CA",'Fleet Tech - Tech'!I$5,IF($F93="BC",'Fleet Tech - Tech'!I$6,IF($F93="BB",'Fleet Tech - Tech'!I$7,IF($F93="CVL",'Fleet Tech - Tech'!I$8,IF($F93="CV",'Fleet Tech - Tech'!I$9,IF($F93="SS",'Fleet Tech - Tech'!I$10,IF($F93="BBV",'Fleet Tech - Tech'!I$11,IF($F93="CB",'Fleet Tech - Tech'!I$15,IF($F93="AE",'Fleet Tech - Tech'!I$16,IF($F93="IX",'Fleet Tech - Tech'!I$17,IF($F93="BM",'Fleet Tech - Tech'!I$13,IF($F93="AR",'Fleet Tech - Tech'!I$12,IF($F93="SSV",'Fleet Tech - Tech'!I$14,"nil"))))))))))))))),0)</f>
        <v>0</v>
      </c>
      <c r="BC93" s="12">
        <f>IF($H93=3,IF(OR($F93="DDV",$F93="DDG",$F93="DD"),'Fleet Tech - Tech'!J$3,IF($F93="CL",'Fleet Tech - Tech'!J$4,IF($F93="CA",'Fleet Tech - Tech'!J$5,IF($F93="BC",'Fleet Tech - Tech'!J$6,IF($F93="BB",'Fleet Tech - Tech'!J$7,IF($F93="CVL",'Fleet Tech - Tech'!J$8,IF($F93="CV",'Fleet Tech - Tech'!J$9,IF($F93="SS",'Fleet Tech - Tech'!J$10,IF($F93="BBV",'Fleet Tech - Tech'!J$11,IF($F93="CB",'Fleet Tech - Tech'!J$15,IF($F93="AE",'Fleet Tech - Tech'!J$16,IF($F93="IX",'Fleet Tech - Tech'!J$17,IF($F93="BM",'Fleet Tech - Tech'!J$13,IF($F93="AR",'Fleet Tech - Tech'!J$12,IF($F93="SSV",'Fleet Tech - Tech'!J$14,"nil"))))))))))))))),0)</f>
        <v>0</v>
      </c>
      <c r="BD93" s="12">
        <f>IF($H93=3,IF(OR($F93="DDV",$F93="DDG",$F93="DD"),'Fleet Tech - Tech'!K$3,IF($F93="CL",'Fleet Tech - Tech'!K$4,IF($F93="CA",'Fleet Tech - Tech'!K$5,IF($F93="BC",'Fleet Tech - Tech'!K$6,IF($F93="BB",'Fleet Tech - Tech'!K$7,IF($F93="CVL",'Fleet Tech - Tech'!K$8,IF($F93="CV",'Fleet Tech - Tech'!K$9,IF($F93="SS",'Fleet Tech - Tech'!K$10,IF($F93="BBV",'Fleet Tech - Tech'!K$11,IF($F93="CB",'Fleet Tech - Tech'!K$15,IF($F93="AE",'Fleet Tech - Tech'!K$16,IF($F93="IX",'Fleet Tech - Tech'!K$17,IF($F93="BM",'Fleet Tech - Tech'!K$13,IF($F93="AR",'Fleet Tech - Tech'!K$12,IF($F93="SSV",'Fleet Tech - Tech'!K$14,"nil"))))))))))))))),0)</f>
        <v>0</v>
      </c>
      <c r="BE93" s="12">
        <f>IF($H93=3,IF(OR($F93="DDV",$F93="DDG",$F93="DD"),'Fleet Tech - Tech'!L$3,IF($F93="CL",'Fleet Tech - Tech'!L$4,IF($F93="CA",'Fleet Tech - Tech'!L$5,IF($F93="BC",'Fleet Tech - Tech'!L$6,IF($F93="BB",'Fleet Tech - Tech'!L$7,IF($F93="CVL",'Fleet Tech - Tech'!L$8,IF($F93="CV",'Fleet Tech - Tech'!L$9,IF($F93="SS",'Fleet Tech - Tech'!L$10,IF($F93="BBV",'Fleet Tech - Tech'!L$11,IF($F93="CB",'Fleet Tech - Tech'!L$15,IF($F93="AE",'Fleet Tech - Tech'!L$16,IF($F93="IX",'Fleet Tech - Tech'!L$17,IF($F93="BM",'Fleet Tech - Tech'!L$13,IF($F93="AR",'Fleet Tech - Tech'!L$12,IF($F93="SSV",'Fleet Tech - Tech'!L$14,"nil"))))))))))))))),0)</f>
        <v>0</v>
      </c>
      <c r="BF93" s="12">
        <f>IF($H93=3,IF(OR($F93="DDV",$F93="DDG",$F93="DD"),'Fleet Tech - Tech'!M$3,IF($F93="CL",'Fleet Tech - Tech'!M$4,IF($F93="CA",'Fleet Tech - Tech'!M$5,IF($F93="BC",'Fleet Tech - Tech'!M$6,IF($F93="BB",'Fleet Tech - Tech'!M$7,IF($F93="CVL",'Fleet Tech - Tech'!M$8,IF($F93="CV",'Fleet Tech - Tech'!M$9,IF($F93="SS",'Fleet Tech - Tech'!M$10,IF($F93="BBV",'Fleet Tech - Tech'!M$11,IF($F93="CB",'Fleet Tech - Tech'!M$15,IF($F93="AE",'Fleet Tech - Tech'!M$16,IF($F93="IX",'Fleet Tech - Tech'!M$17,IF($F93="BM",'Fleet Tech - Tech'!M$13,IF($F93="AR",'Fleet Tech - Tech'!M$12,IF($F93="SSV",'Fleet Tech - Tech'!M$14,"nil"))))))))))))))),0)</f>
        <v>0</v>
      </c>
      <c r="BG93" s="12">
        <f>IF($H93=3,IF(OR($F93="DDV",$F93="DDG",$F93="DD"),'Fleet Tech - Tech'!N$3,IF($F93="CL",'Fleet Tech - Tech'!N$4,IF($F93="CA",'Fleet Tech - Tech'!N$5,IF($F93="BC",'Fleet Tech - Tech'!N$6,IF($F93="BB",'Fleet Tech - Tech'!N$7,IF($F93="CVL",'Fleet Tech - Tech'!N$8,IF($F93="CV",'Fleet Tech - Tech'!N$9,IF($F93="SS",'Fleet Tech - Tech'!N$10,IF($F93="BBV",'Fleet Tech - Tech'!N$11,IF($F93="CB",'Fleet Tech - Tech'!N$15,IF($F93="AE",'Fleet Tech - Tech'!N$16,IF($F93="IX",'Fleet Tech - Tech'!N$17,IF($F93="BM",'Fleet Tech - Tech'!N$13,IF($F93="AR",'Fleet Tech - Tech'!N$12,IF($F93="SSV",'Fleet Tech - Tech'!N$14,"nil"))))))))))))))),0)</f>
        <v>0</v>
      </c>
      <c r="BH93" s="28"/>
      <c r="BI93" s="12">
        <v>689</v>
      </c>
      <c r="BJ93" s="12">
        <v>18</v>
      </c>
      <c r="BK93" s="12">
        <v>50</v>
      </c>
      <c r="BL93" s="12">
        <v>69</v>
      </c>
      <c r="BM93" s="12">
        <v>18</v>
      </c>
      <c r="BN93" s="12">
        <v>139</v>
      </c>
      <c r="BO93" s="12">
        <v>0</v>
      </c>
      <c r="BP93" s="12">
        <v>0</v>
      </c>
      <c r="BQ93" s="12">
        <v>42</v>
      </c>
      <c r="BR93" s="12">
        <v>2</v>
      </c>
      <c r="BS93" s="12">
        <v>92</v>
      </c>
      <c r="BT93" s="12">
        <v>119</v>
      </c>
      <c r="BU93" s="12">
        <v>105</v>
      </c>
      <c r="BV93" s="12">
        <v>335</v>
      </c>
      <c r="BW93" s="28"/>
      <c r="BX93" s="12">
        <v>1</v>
      </c>
      <c r="BY93" s="12">
        <v>0</v>
      </c>
      <c r="BZ93" s="12">
        <v>2</v>
      </c>
      <c r="CA93" s="12">
        <v>0</v>
      </c>
      <c r="CB93" s="12">
        <v>-1</v>
      </c>
      <c r="CC93" s="12">
        <v>-1</v>
      </c>
      <c r="CD93" s="12">
        <v>-1</v>
      </c>
      <c r="CE93" s="12">
        <v>-1</v>
      </c>
      <c r="CF93" s="12">
        <v>-1</v>
      </c>
      <c r="CG93" s="12">
        <v>-1</v>
      </c>
      <c r="CH93" s="12">
        <v>-1</v>
      </c>
      <c r="CI93" s="12">
        <v>-1</v>
      </c>
      <c r="CJ93" s="47"/>
      <c r="CK93" s="48">
        <f>IF(BX93=5,320,IF(BX93=4,195,IF(BX93=3,132,IF(BX93=2,90,IF(BX93=1,58,IF(BX93=-1,0,35))))))</f>
        <v>58</v>
      </c>
      <c r="CL93" s="48">
        <f>IF(BX93=5,20,IF(BX93=4,15,IF(BX93=3,12,IF(BX93=2,10,IF(BX93=1,8,IF(BX93=-1,0,5))))))</f>
        <v>8</v>
      </c>
      <c r="CM93" s="48">
        <f>IF(BZ93=5,320,IF(BZ93=4,195,IF(BZ93=3,132,IF(BZ93=2,90,IF(BZ93=1,58,IF(BZ93=-1,0,35))))))</f>
        <v>90</v>
      </c>
      <c r="CN93" s="48">
        <f>IF(BZ93=5,20,IF(BZ93=4,15,IF(BZ93=3,12,IF(BZ93=2,10,IF(BZ93=1,8,IF(BZ93=-1,0,5))))))</f>
        <v>10</v>
      </c>
      <c r="CO93" s="48">
        <f>IF(CB93=5,320,IF(CB93=4,195,IF(CB93=3,132,IF(CB93=2,90,IF(CB93=1,58,IF(CB93=-1,0,35))))))</f>
        <v>0</v>
      </c>
      <c r="CP93" s="48">
        <f>IF(CB93=5,20,IF(CB93=4,15,IF(CB93=3,12,IF(CB93=2,10,IF(CB93=1,8,IF(CB93=-1,0,5))))))</f>
        <v>0</v>
      </c>
      <c r="CQ93" s="48">
        <f>IF(CD93=5,320,IF(CD93=4,195,IF(CD93=3,132,IF(CD93=2,90,IF(CD93=1,58,IF(CD93=-1,0,35))))))</f>
        <v>0</v>
      </c>
      <c r="CR93" s="48">
        <f>IF(CD93=5,20,IF(CD93=4,15,IF(CD93=3,12,IF(CD93=2,10,IF(CD93=1,8,IF(CD93=-1,0,5))))))</f>
        <v>0</v>
      </c>
      <c r="CS93" s="48">
        <f>IF(CF93=5,320,IF(CF93=4,195,IF(CF93=3,132,IF(CF93=2,90,IF(CF93=1,58,IF(CF93=-1,0,35))))))</f>
        <v>0</v>
      </c>
      <c r="CT93" s="48">
        <f>IF(CF93=5,20,IF(CF93=4,15,IF(CF93=3,12,IF(CF93=2,10,IF(CF93=1,8,IF(CF93=-1,0,5))))))</f>
        <v>0</v>
      </c>
      <c r="CU93" s="48">
        <f>IF(CH93=5,320,IF(CH93=4,195,IF(CH93=3,132,IF(CH93=2,90,IF(CH93=1,58,IF(CH93=-1,0,35))))))</f>
        <v>0</v>
      </c>
      <c r="CV93" s="48">
        <f>IF(CH93=5,20,IF(CH93=4,15,IF(CH93=3,12,IF(CH93=2,10,IF(CH93=1,8,IF(CH93=-1,0,5))))))</f>
        <v>0</v>
      </c>
      <c r="CW93" s="48">
        <f>IF(BY93&gt;10,(BY93/10)-ROUNDDOWN(BY93/10,0),0)+IF(CA93&gt;10,(CA93/10)-ROUNDDOWN(CA93/10,0),0)+IF(CC93&gt;10,(CC93/10)-ROUNDDOWN(CC93/10,0),0)+IF(CE93&gt;10,(CE93/10)-ROUNDDOWN(CE93/10,0),0)+IF(CG93&gt;10,(CG93/10)-ROUNDDOWN(CG93/10,0),0)+IF(CI93&gt;10,(CI93/10)-ROUNDDOWN(CI93/10,0),0)</f>
        <v>0</v>
      </c>
      <c r="CX93" s="48">
        <f>1+(CW93/10)</f>
        <v>1</v>
      </c>
    </row>
    <row r="94" ht="20.05" customHeight="1">
      <c r="A94" t="s" s="43">
        <v>373</v>
      </c>
      <c r="B94" s="49"/>
      <c r="C94" t="s" s="45">
        <v>73</v>
      </c>
      <c r="D94" s="13">
        <v>7</v>
      </c>
      <c r="E94" t="s" s="15">
        <v>240</v>
      </c>
      <c r="F94" t="s" s="15">
        <v>241</v>
      </c>
      <c r="G94" t="s" s="15">
        <v>282</v>
      </c>
      <c r="H94" s="12">
        <v>0</v>
      </c>
      <c r="I94" t="s" s="15">
        <v>235</v>
      </c>
      <c r="J94" s="12">
        <v>1</v>
      </c>
      <c r="K94" t="s" s="14">
        <v>242</v>
      </c>
      <c r="L94" t="s" s="15">
        <v>265</v>
      </c>
      <c r="M94" t="s" s="15">
        <v>27</v>
      </c>
      <c r="N94" s="46">
        <f>ROUND((SUM(AA94,T94:Y94,AC94:AE94,Z94*10)-AB94*15)*(IF(K94="Heavy",0.15,IF(K94="Medium",0,IF(K94="Light",-0.15,10)))+1),0)</f>
        <v>298</v>
      </c>
      <c r="O94" s="46">
        <v>759</v>
      </c>
      <c r="P94" s="46">
        <f>ROUNDDOWN((BI94+AU94+AG94)/5,0)+(BJ94+AV94+AH94)+(BN94+AZ94+AL94)+(BO94+BA94+AM94)+(BK94+AW94+AI94)+(BS94+BE94+AQ94)+(BL94+AX94+AJ94)+(BQ94+BC94+AO94)+(2*((BT94+BF94+AR94)+(BU94+BG94+AS94)))+(CK94+CM94+CO94+CQ94+CS94+CU94)+(CL94*BY94)+(CN94*CA94)+(CP94+CC94)+(CR94+CE94)+(CT94+CG94)+(CV94+CI94)+BV94</f>
        <v>1099</v>
      </c>
      <c r="Q94" s="46">
        <f>ROUNDDOWN(((S94/5)+T94+X94+Y94+U94+AC94+V94+AA94+(2*(AD94+AE94))+CK94+CM94+CO94+CQ94+CS94+CU94+(CL94*BX94)+(CN94*BZ94)+(CP94*CB94)+(CR94*CD94)+(CT94*CF94)+(CV94*CH94))*CX94,0)</f>
        <v>795</v>
      </c>
      <c r="R94" s="46">
        <f>ROUNDDOWN(AVERAGE(P94:Q94),0)</f>
        <v>947</v>
      </c>
      <c r="S94" s="12">
        <f>AG94+AU94+BI94</f>
        <v>1106</v>
      </c>
      <c r="T94" s="12">
        <f>AH94+AV94+BJ94</f>
        <v>0</v>
      </c>
      <c r="U94" s="12">
        <f>AI94+AW94+BK94</f>
        <v>63</v>
      </c>
      <c r="V94" s="12">
        <f>AJ94+AX94+BL94</f>
        <v>0</v>
      </c>
      <c r="W94" s="12">
        <f>AK94+AY94+BM94</f>
        <v>68</v>
      </c>
      <c r="X94" s="12">
        <f>AL94+AZ94+BN94</f>
        <v>0</v>
      </c>
      <c r="Y94" s="12">
        <f>AM94+BA94+BO94</f>
        <v>104</v>
      </c>
      <c r="Z94" s="12">
        <f>AN94+BB94+BP94</f>
        <v>0</v>
      </c>
      <c r="AA94" s="12">
        <f>AO94+BC94+BQ94</f>
        <v>33</v>
      </c>
      <c r="AB94" s="12">
        <f>AP94+BD94+BR94</f>
        <v>4</v>
      </c>
      <c r="AC94" s="12">
        <f>AQ94+BE94+BS94</f>
        <v>48</v>
      </c>
      <c r="AD94" s="12">
        <f>AR94+BF94+BT94</f>
        <v>13</v>
      </c>
      <c r="AE94" s="12">
        <f>AS94+BG94+BU94</f>
        <v>29</v>
      </c>
      <c r="AF94" s="28"/>
      <c r="AG94" s="28"/>
      <c r="AH94" s="28"/>
      <c r="AI94" s="28"/>
      <c r="AJ94" s="28"/>
      <c r="AK94" s="28"/>
      <c r="AL94" s="28"/>
      <c r="AM94" s="12">
        <v>22</v>
      </c>
      <c r="AN94" s="28"/>
      <c r="AO94" s="28"/>
      <c r="AP94" s="28"/>
      <c r="AQ94" s="28"/>
      <c r="AR94" s="28"/>
      <c r="AS94" s="28"/>
      <c r="AT94" s="28"/>
      <c r="AU94" s="12">
        <f>IF($H94=3,IF(OR($F94="DDV",$F94="DDG",$F94="DD"),'Fleet Tech - Tech'!B$3,IF($F94="CL",'Fleet Tech - Tech'!B$4,IF($F94="CA",'Fleet Tech - Tech'!B$5,IF($F94="BC",'Fleet Tech - Tech'!B$6,IF($F94="BB",'Fleet Tech - Tech'!B$7,IF($F94="CVL",'Fleet Tech - Tech'!B$8,IF($F94="CV",'Fleet Tech - Tech'!B$9,IF($F94="SS",'Fleet Tech - Tech'!B$10,IF($F94="BBV",'Fleet Tech - Tech'!B$11,IF($F94="CB",'Fleet Tech - Tech'!B$15,IF($F94="AE",'Fleet Tech - Tech'!B$16,IF($F94="IX",'Fleet Tech - Tech'!B$17,IF($F94="BM",'Fleet Tech - Tech'!B$13,IF($F94="AR",'Fleet Tech - Tech'!B$12,IF($F94="SSV",'Fleet Tech - Tech'!B$14,"nil"))))))))))))))),0)</f>
        <v>0</v>
      </c>
      <c r="AV94" s="12">
        <f>IF($H94=3,IF(OR($F94="DDV",$F94="DDG",$F94="DD"),'Fleet Tech - Tech'!C$3,IF($F94="CL",'Fleet Tech - Tech'!C$4,IF($F94="CA",'Fleet Tech - Tech'!C$5,IF($F94="BC",'Fleet Tech - Tech'!C$6,IF($F94="BB",'Fleet Tech - Tech'!C$7,IF($F94="CVL",'Fleet Tech - Tech'!C$8,IF($F94="CV",'Fleet Tech - Tech'!C$9,IF($F94="SS",'Fleet Tech - Tech'!C$10,IF($F94="BBV",'Fleet Tech - Tech'!C$11,IF($F94="CB",'Fleet Tech - Tech'!C$15,IF($F94="AE",'Fleet Tech - Tech'!C$16,IF($F94="IX",'Fleet Tech - Tech'!C$17,IF($F94="BM",'Fleet Tech - Tech'!C$13,IF($F94="AR",'Fleet Tech - Tech'!C$12,IF($F94="SSV",'Fleet Tech - Tech'!C$14,"nil"))))))))))))))),0)</f>
        <v>0</v>
      </c>
      <c r="AW94" s="12">
        <f>IF($H94=3,IF(OR($F94="DDV",$F94="DDG",$F94="DD"),'Fleet Tech - Tech'!D$3,IF($F94="CL",'Fleet Tech - Tech'!D$4,IF($F94="CA",'Fleet Tech - Tech'!D$5,IF($F94="BC",'Fleet Tech - Tech'!D$6,IF($F94="BB",'Fleet Tech - Tech'!D$7,IF($F94="CVL",'Fleet Tech - Tech'!D$8,IF($F94="CV",'Fleet Tech - Tech'!D$9,IF($F94="SS",'Fleet Tech - Tech'!D$10,IF($F94="BBV",'Fleet Tech - Tech'!D$11,IF($F94="CB",'Fleet Tech - Tech'!D$15,IF($F94="AE",'Fleet Tech - Tech'!D$16,IF($F94="IX",'Fleet Tech - Tech'!D$17,IF($F94="BM",'Fleet Tech - Tech'!D$13,IF($F94="AR",'Fleet Tech - Tech'!D$12,IF($F94="SSV",'Fleet Tech - Tech'!D$14,"nil"))))))))))))))),0)</f>
        <v>0</v>
      </c>
      <c r="AX94" s="12">
        <f>IF($H94=3,IF(OR($F94="DDV",$F94="DDG",$F94="DD"),'Fleet Tech - Tech'!E$3,IF($F94="CL",'Fleet Tech - Tech'!E$4,IF($F94="CA",'Fleet Tech - Tech'!E$5,IF($F94="BC",'Fleet Tech - Tech'!E$6,IF($F94="BB",'Fleet Tech - Tech'!E$7,IF($F94="CVL",'Fleet Tech - Tech'!E$8,IF($F94="CV",'Fleet Tech - Tech'!E$9,IF($F94="SS",'Fleet Tech - Tech'!E$10,IF($F94="BBV",'Fleet Tech - Tech'!E$11,IF($F94="CB",'Fleet Tech - Tech'!E$15,IF($F94="AE",'Fleet Tech - Tech'!E$16,IF($F94="IX",'Fleet Tech - Tech'!E$17,IF($F94="BM",'Fleet Tech - Tech'!E$13,IF($F94="AR",'Fleet Tech - Tech'!E$12,IF($F94="SSV",'Fleet Tech - Tech'!E$14,"nil"))))))))))))))),0)</f>
        <v>0</v>
      </c>
      <c r="AY94" s="12">
        <f>IF($H94=3,IF(OR($F94="DDV",$F94="DDG",$F94="DD"),'Fleet Tech - Tech'!F$3,IF($F94="CL",'Fleet Tech - Tech'!F$4,IF($F94="CA",'Fleet Tech - Tech'!F$5,IF($F94="BC",'Fleet Tech - Tech'!F$6,IF($F94="BB",'Fleet Tech - Tech'!F$7,IF($F94="CVL",'Fleet Tech - Tech'!F$8,IF($F94="CV",'Fleet Tech - Tech'!F$9,IF($F94="SS",'Fleet Tech - Tech'!F$10,IF($F94="BBV",'Fleet Tech - Tech'!F$11,IF($F94="CB",'Fleet Tech - Tech'!F$15,IF($F94="AE",'Fleet Tech - Tech'!F$16,IF($F94="IX",'Fleet Tech - Tech'!F$17,IF($F94="BM",'Fleet Tech - Tech'!F$13,IF($F94="AR",'Fleet Tech - Tech'!F$12,IF($F94="SSV",'Fleet Tech - Tech'!F$14,"nil"))))))))))))))),0)</f>
        <v>0</v>
      </c>
      <c r="AZ94" s="12">
        <f>IF($H94=3,IF(OR($F94="DDV",$F94="DDG",$F94="DD"),'Fleet Tech - Tech'!G$3,IF($F94="CL",'Fleet Tech - Tech'!G$4,IF($F94="CA",'Fleet Tech - Tech'!G$5,IF($F94="BC",'Fleet Tech - Tech'!G$6,IF($F94="BB",'Fleet Tech - Tech'!G$7,IF($F94="CVL",'Fleet Tech - Tech'!G$8,IF($F94="CV",'Fleet Tech - Tech'!G$9,IF($F94="SS",'Fleet Tech - Tech'!G$10,IF($F94="BBV",'Fleet Tech - Tech'!G$11,IF($F94="CB",'Fleet Tech - Tech'!G$15,IF($F94="AE",'Fleet Tech - Tech'!G$16,IF($F94="IX",'Fleet Tech - Tech'!G$17,IF($F94="BM",'Fleet Tech - Tech'!G$13,IF($F94="AR",'Fleet Tech - Tech'!G$12,IF($F94="SSV",'Fleet Tech - Tech'!G$14,"nil"))))))))))))))),0)</f>
        <v>0</v>
      </c>
      <c r="BA94" s="12">
        <f>IF($H94=3,IF(OR($F94="DDV",$F94="DDG",$F94="DD"),'Fleet Tech - Tech'!H$3,IF($F94="CL",'Fleet Tech - Tech'!H$4,IF($F94="CA",'Fleet Tech - Tech'!H$5,IF($F94="BC",'Fleet Tech - Tech'!H$6,IF($F94="BB",'Fleet Tech - Tech'!H$7,IF($F94="CVL",'Fleet Tech - Tech'!H$8,IF($F94="CV",'Fleet Tech - Tech'!H$9,IF($F94="SS",'Fleet Tech - Tech'!H$10,IF($F94="BBV",'Fleet Tech - Tech'!H$11,IF($F94="CB",'Fleet Tech - Tech'!H$15,IF($F94="AE",'Fleet Tech - Tech'!H$16,IF($F94="IX",'Fleet Tech - Tech'!H$17,IF($F94="BM",'Fleet Tech - Tech'!H$13,IF($F94="AR",'Fleet Tech - Tech'!H$12,IF($F94="SSV",'Fleet Tech - Tech'!H$14,"nil"))))))))))))))),0)</f>
        <v>0</v>
      </c>
      <c r="BB94" s="12">
        <f>IF($H94=3,IF(OR($F94="DDV",$F94="DDG",$F94="DD"),'Fleet Tech - Tech'!I$3,IF($F94="CL",'Fleet Tech - Tech'!I$4,IF($F94="CA",'Fleet Tech - Tech'!I$5,IF($F94="BC",'Fleet Tech - Tech'!I$6,IF($F94="BB",'Fleet Tech - Tech'!I$7,IF($F94="CVL",'Fleet Tech - Tech'!I$8,IF($F94="CV",'Fleet Tech - Tech'!I$9,IF($F94="SS",'Fleet Tech - Tech'!I$10,IF($F94="BBV",'Fleet Tech - Tech'!I$11,IF($F94="CB",'Fleet Tech - Tech'!I$15,IF($F94="AE",'Fleet Tech - Tech'!I$16,IF($F94="IX",'Fleet Tech - Tech'!I$17,IF($F94="BM",'Fleet Tech - Tech'!I$13,IF($F94="AR",'Fleet Tech - Tech'!I$12,IF($F94="SSV",'Fleet Tech - Tech'!I$14,"nil"))))))))))))))),0)</f>
        <v>0</v>
      </c>
      <c r="BC94" s="12">
        <f>IF($H94=3,IF(OR($F94="DDV",$F94="DDG",$F94="DD"),'Fleet Tech - Tech'!J$3,IF($F94="CL",'Fleet Tech - Tech'!J$4,IF($F94="CA",'Fleet Tech - Tech'!J$5,IF($F94="BC",'Fleet Tech - Tech'!J$6,IF($F94="BB",'Fleet Tech - Tech'!J$7,IF($F94="CVL",'Fleet Tech - Tech'!J$8,IF($F94="CV",'Fleet Tech - Tech'!J$9,IF($F94="SS",'Fleet Tech - Tech'!J$10,IF($F94="BBV",'Fleet Tech - Tech'!J$11,IF($F94="CB",'Fleet Tech - Tech'!J$15,IF($F94="AE",'Fleet Tech - Tech'!J$16,IF($F94="IX",'Fleet Tech - Tech'!J$17,IF($F94="BM",'Fleet Tech - Tech'!J$13,IF($F94="AR",'Fleet Tech - Tech'!J$12,IF($F94="SSV",'Fleet Tech - Tech'!J$14,"nil"))))))))))))))),0)</f>
        <v>0</v>
      </c>
      <c r="BD94" s="12">
        <f>IF($H94=3,IF(OR($F94="DDV",$F94="DDG",$F94="DD"),'Fleet Tech - Tech'!K$3,IF($F94="CL",'Fleet Tech - Tech'!K$4,IF($F94="CA",'Fleet Tech - Tech'!K$5,IF($F94="BC",'Fleet Tech - Tech'!K$6,IF($F94="BB",'Fleet Tech - Tech'!K$7,IF($F94="CVL",'Fleet Tech - Tech'!K$8,IF($F94="CV",'Fleet Tech - Tech'!K$9,IF($F94="SS",'Fleet Tech - Tech'!K$10,IF($F94="BBV",'Fleet Tech - Tech'!K$11,IF($F94="CB",'Fleet Tech - Tech'!K$15,IF($F94="AE",'Fleet Tech - Tech'!K$16,IF($F94="IX",'Fleet Tech - Tech'!K$17,IF($F94="BM",'Fleet Tech - Tech'!K$13,IF($F94="AR",'Fleet Tech - Tech'!K$12,IF($F94="SSV",'Fleet Tech - Tech'!K$14,"nil"))))))))))))))),0)</f>
        <v>0</v>
      </c>
      <c r="BE94" s="12">
        <f>IF($H94=3,IF(OR($F94="DDV",$F94="DDG",$F94="DD"),'Fleet Tech - Tech'!L$3,IF($F94="CL",'Fleet Tech - Tech'!L$4,IF($F94="CA",'Fleet Tech - Tech'!L$5,IF($F94="BC",'Fleet Tech - Tech'!L$6,IF($F94="BB",'Fleet Tech - Tech'!L$7,IF($F94="CVL",'Fleet Tech - Tech'!L$8,IF($F94="CV",'Fleet Tech - Tech'!L$9,IF($F94="SS",'Fleet Tech - Tech'!L$10,IF($F94="BBV",'Fleet Tech - Tech'!L$11,IF($F94="CB",'Fleet Tech - Tech'!L$15,IF($F94="AE",'Fleet Tech - Tech'!L$16,IF($F94="IX",'Fleet Tech - Tech'!L$17,IF($F94="BM",'Fleet Tech - Tech'!L$13,IF($F94="AR",'Fleet Tech - Tech'!L$12,IF($F94="SSV",'Fleet Tech - Tech'!L$14,"nil"))))))))))))))),0)</f>
        <v>0</v>
      </c>
      <c r="BF94" s="12">
        <f>IF($H94=3,IF(OR($F94="DDV",$F94="DDG",$F94="DD"),'Fleet Tech - Tech'!M$3,IF($F94="CL",'Fleet Tech - Tech'!M$4,IF($F94="CA",'Fleet Tech - Tech'!M$5,IF($F94="BC",'Fleet Tech - Tech'!M$6,IF($F94="BB",'Fleet Tech - Tech'!M$7,IF($F94="CVL",'Fleet Tech - Tech'!M$8,IF($F94="CV",'Fleet Tech - Tech'!M$9,IF($F94="SS",'Fleet Tech - Tech'!M$10,IF($F94="BBV",'Fleet Tech - Tech'!M$11,IF($F94="CB",'Fleet Tech - Tech'!M$15,IF($F94="AE",'Fleet Tech - Tech'!M$16,IF($F94="IX",'Fleet Tech - Tech'!M$17,IF($F94="BM",'Fleet Tech - Tech'!M$13,IF($F94="AR",'Fleet Tech - Tech'!M$12,IF($F94="SSV",'Fleet Tech - Tech'!M$14,"nil"))))))))))))))),0)</f>
        <v>0</v>
      </c>
      <c r="BG94" s="12">
        <f>IF($H94=3,IF(OR($F94="DDV",$F94="DDG",$F94="DD"),'Fleet Tech - Tech'!N$3,IF($F94="CL",'Fleet Tech - Tech'!N$4,IF($F94="CA",'Fleet Tech - Tech'!N$5,IF($F94="BC",'Fleet Tech - Tech'!N$6,IF($F94="BB",'Fleet Tech - Tech'!N$7,IF($F94="CVL",'Fleet Tech - Tech'!N$8,IF($F94="CV",'Fleet Tech - Tech'!N$9,IF($F94="SS",'Fleet Tech - Tech'!N$10,IF($F94="BBV",'Fleet Tech - Tech'!N$11,IF($F94="CB",'Fleet Tech - Tech'!N$15,IF($F94="AE",'Fleet Tech - Tech'!N$16,IF($F94="IX",'Fleet Tech - Tech'!N$17,IF($F94="BM",'Fleet Tech - Tech'!N$13,IF($F94="AR",'Fleet Tech - Tech'!N$12,IF($F94="SSV",'Fleet Tech - Tech'!N$14,"nil"))))))))))))))),0)</f>
        <v>0</v>
      </c>
      <c r="BH94" s="28"/>
      <c r="BI94" s="12">
        <v>1106</v>
      </c>
      <c r="BJ94" s="28"/>
      <c r="BK94" s="12">
        <v>63</v>
      </c>
      <c r="BL94" s="28"/>
      <c r="BM94" s="12">
        <v>68</v>
      </c>
      <c r="BN94" s="28"/>
      <c r="BO94" s="12">
        <v>82</v>
      </c>
      <c r="BP94" s="28"/>
      <c r="BQ94" s="12">
        <v>33</v>
      </c>
      <c r="BR94" s="12">
        <v>4</v>
      </c>
      <c r="BS94" s="12">
        <v>48</v>
      </c>
      <c r="BT94" s="12">
        <v>13</v>
      </c>
      <c r="BU94" s="12">
        <v>29</v>
      </c>
      <c r="BV94" s="12">
        <v>335</v>
      </c>
      <c r="BW94" s="28"/>
      <c r="BX94" s="12">
        <v>2</v>
      </c>
      <c r="BY94" s="12">
        <v>0</v>
      </c>
      <c r="BZ94" s="12">
        <v>1</v>
      </c>
      <c r="CA94" s="12">
        <v>0</v>
      </c>
      <c r="CB94" s="12">
        <v>1</v>
      </c>
      <c r="CC94" s="12">
        <v>0</v>
      </c>
      <c r="CD94" s="12">
        <v>-1</v>
      </c>
      <c r="CE94" s="12">
        <v>-1</v>
      </c>
      <c r="CF94" s="12">
        <v>-1</v>
      </c>
      <c r="CG94" s="12">
        <v>-1</v>
      </c>
      <c r="CH94" s="12">
        <v>-1</v>
      </c>
      <c r="CI94" s="12">
        <v>-1</v>
      </c>
      <c r="CJ94" s="47"/>
      <c r="CK94" s="48">
        <f>IF(BX94=5,320,IF(BX94=4,195,IF(BX94=3,132,IF(BX94=2,90,IF(BX94=1,58,IF(BX94=-1,0,35))))))</f>
        <v>90</v>
      </c>
      <c r="CL94" s="48">
        <f>IF(BX94=5,20,IF(BX94=4,15,IF(BX94=3,12,IF(BX94=2,10,IF(BX94=1,8,IF(BX94=-1,0,5))))))</f>
        <v>10</v>
      </c>
      <c r="CM94" s="48">
        <f>IF(BZ94=5,320,IF(BZ94=4,195,IF(BZ94=3,132,IF(BZ94=2,90,IF(BZ94=1,58,IF(BZ94=-1,0,35))))))</f>
        <v>58</v>
      </c>
      <c r="CN94" s="48">
        <f>IF(BZ94=5,20,IF(BZ94=4,15,IF(BZ94=3,12,IF(BZ94=2,10,IF(BZ94=1,8,IF(BZ94=-1,0,5))))))</f>
        <v>8</v>
      </c>
      <c r="CO94" s="48">
        <f>IF(CB94=5,320,IF(CB94=4,195,IF(CB94=3,132,IF(CB94=2,90,IF(CB94=1,58,IF(CB94=-1,0,35))))))</f>
        <v>58</v>
      </c>
      <c r="CP94" s="48">
        <f>IF(CB94=5,20,IF(CB94=4,15,IF(CB94=3,12,IF(CB94=2,10,IF(CB94=1,8,IF(CB94=-1,0,5))))))</f>
        <v>8</v>
      </c>
      <c r="CQ94" s="48">
        <f>IF(CD94=5,320,IF(CD94=4,195,IF(CD94=3,132,IF(CD94=2,90,IF(CD94=1,58,IF(CD94=-1,0,35))))))</f>
        <v>0</v>
      </c>
      <c r="CR94" s="48">
        <f>IF(CD94=5,20,IF(CD94=4,15,IF(CD94=3,12,IF(CD94=2,10,IF(CD94=1,8,IF(CD94=-1,0,5))))))</f>
        <v>0</v>
      </c>
      <c r="CS94" s="48">
        <f>IF(CF94=5,320,IF(CF94=4,195,IF(CF94=3,132,IF(CF94=2,90,IF(CF94=1,58,IF(CF94=-1,0,35))))))</f>
        <v>0</v>
      </c>
      <c r="CT94" s="48">
        <f>IF(CF94=5,20,IF(CF94=4,15,IF(CF94=3,12,IF(CF94=2,10,IF(CF94=1,8,IF(CF94=-1,0,5))))))</f>
        <v>0</v>
      </c>
      <c r="CU94" s="48">
        <f>IF(CH94=5,320,IF(CH94=4,195,IF(CH94=3,132,IF(CH94=2,90,IF(CH94=1,58,IF(CH94=-1,0,35))))))</f>
        <v>0</v>
      </c>
      <c r="CV94" s="48">
        <f>IF(CH94=5,20,IF(CH94=4,15,IF(CH94=3,12,IF(CH94=2,10,IF(CH94=1,8,IF(CH94=-1,0,5))))))</f>
        <v>0</v>
      </c>
      <c r="CW94" s="48">
        <f>IF(BY94&gt;10,(BY94/10)-ROUNDDOWN(BY94/10,0),0)+IF(CA94&gt;10,(CA94/10)-ROUNDDOWN(CA94/10,0),0)+IF(CC94&gt;10,(CC94/10)-ROUNDDOWN(CC94/10,0),0)+IF(CE94&gt;10,(CE94/10)-ROUNDDOWN(CE94/10,0),0)+IF(CG94&gt;10,(CG94/10)-ROUNDDOWN(CG94/10,0),0)+IF(CI94&gt;10,(CI94/10)-ROUNDDOWN(CI94/10,0),0)</f>
        <v>0</v>
      </c>
      <c r="CX94" s="48">
        <f>1+(CW94/10)</f>
        <v>1</v>
      </c>
    </row>
    <row r="95" ht="20.05" customHeight="1">
      <c r="A95" t="s" s="43">
        <v>374</v>
      </c>
      <c r="B95" s="49"/>
      <c r="C95" t="s" s="45">
        <v>73</v>
      </c>
      <c r="D95" s="13">
        <v>7</v>
      </c>
      <c r="E95" t="s" s="15">
        <v>240</v>
      </c>
      <c r="F95" t="s" s="15">
        <v>297</v>
      </c>
      <c r="G95" t="s" s="15">
        <v>282</v>
      </c>
      <c r="H95" s="12">
        <v>0</v>
      </c>
      <c r="I95" t="s" s="15">
        <v>235</v>
      </c>
      <c r="J95" s="12">
        <v>1</v>
      </c>
      <c r="K95" t="s" s="14">
        <v>242</v>
      </c>
      <c r="L95" t="s" s="15">
        <v>237</v>
      </c>
      <c r="M95" t="s" s="15">
        <v>19</v>
      </c>
      <c r="N95" s="46">
        <f>ROUND((SUM(AA95,T95:Y95,AC95:AE95,Z95*10)-AB95*15)*(IF(K95="Heavy",0.15,IF(K95="Medium",0,IF(K95="Light",-0.15,10)))+1),0)</f>
        <v>309</v>
      </c>
      <c r="O95" s="46">
        <v>603</v>
      </c>
      <c r="P95" s="46">
        <f>ROUNDDOWN((BI95+AU95+AG95)/5,0)+(BJ95+AV95+AH95)+(BN95+AZ95+AL95)+(BO95+BA95+AM95)+(BK95+AW95+AI95)+(BS95+BE95+AQ95)+(BL95+AX95+AJ95)+(BQ95+BC95+AO95)+(2*((BT95+BF95+AR95)+(BU95+BG95+AS95)))+(CK95+CM95+CO95+CQ95+CS95+CU95)+(CL95*BY95)+(CN95*CA95)+(CP95+CC95)+(CR95+CE95)+(CT95+CG95)+(CV95+CI95)+BV95</f>
        <v>933</v>
      </c>
      <c r="Q95" s="46">
        <f>ROUNDDOWN(((S95/5)+T95+X95+Y95+U95+AC95+V95+AA95+(2*(AD95+AE95))+CK95+CM95+CO95+CQ95+CS95+CU95+(CL95*BX95)+(CN95*BZ95)+(CP95*CB95)+(CR95*CD95)+(CT95*CF95)+(CV95*CH95))*CX95,0)</f>
        <v>610</v>
      </c>
      <c r="R95" s="46">
        <f>ROUNDDOWN(AVERAGE(P95:Q95),0)</f>
        <v>771</v>
      </c>
      <c r="S95" s="12">
        <f>AG95+AU95+BI95</f>
        <v>824</v>
      </c>
      <c r="T95" s="12">
        <f>AH95+AV95+BJ95</f>
        <v>0</v>
      </c>
      <c r="U95" s="12">
        <f>AI95+AW95+BK95</f>
        <v>52</v>
      </c>
      <c r="V95" s="12">
        <f>AJ95+AX95+BL95</f>
        <v>27</v>
      </c>
      <c r="W95" s="12">
        <f>AK95+AY95+BM95</f>
        <v>70</v>
      </c>
      <c r="X95" s="12">
        <f>AL95+AZ95+BN95</f>
        <v>0</v>
      </c>
      <c r="Y95" s="12">
        <f>AM95+BA95+BO95</f>
        <v>72</v>
      </c>
      <c r="Z95" s="12">
        <f>AN95+BB95+BP95</f>
        <v>0</v>
      </c>
      <c r="AA95" s="12">
        <f>AO95+BC95+BQ95</f>
        <v>26</v>
      </c>
      <c r="AB95" s="12">
        <f>AP95+BD95+BR95</f>
        <v>4</v>
      </c>
      <c r="AC95" s="12">
        <f>AQ95+BE95+BS95</f>
        <v>76</v>
      </c>
      <c r="AD95" s="12">
        <f>AR95+BF95+BT95</f>
        <v>19</v>
      </c>
      <c r="AE95" s="12">
        <f>AS95+BG95+BU95</f>
        <v>27</v>
      </c>
      <c r="AF95" s="28"/>
      <c r="AG95" s="28"/>
      <c r="AH95" s="28"/>
      <c r="AI95" s="28"/>
      <c r="AJ95" s="28"/>
      <c r="AK95" s="28"/>
      <c r="AL95" s="28"/>
      <c r="AM95" s="12">
        <v>5</v>
      </c>
      <c r="AN95" s="28"/>
      <c r="AO95" s="28"/>
      <c r="AP95" s="28"/>
      <c r="AQ95" s="28"/>
      <c r="AR95" s="28"/>
      <c r="AS95" s="28"/>
      <c r="AT95" s="28"/>
      <c r="AU95" s="12">
        <f>IF($H95=3,IF(OR($F95="DDV",$F95="DDG",$F95="DD"),'Fleet Tech - Tech'!B$3,IF($F95="CL",'Fleet Tech - Tech'!B$4,IF($F95="CA",'Fleet Tech - Tech'!B$5,IF($F95="BC",'Fleet Tech - Tech'!B$6,IF($F95="BB",'Fleet Tech - Tech'!B$7,IF($F95="CVL",'Fleet Tech - Tech'!B$8,IF($F95="CV",'Fleet Tech - Tech'!B$9,IF($F95="SS",'Fleet Tech - Tech'!B$10,IF($F95="BBV",'Fleet Tech - Tech'!B$11,IF($F95="CB",'Fleet Tech - Tech'!B$15,IF($F95="AE",'Fleet Tech - Tech'!B$16,IF($F95="IX",'Fleet Tech - Tech'!B$17,IF($F95="BM",'Fleet Tech - Tech'!B$13,IF($F95="AR",'Fleet Tech - Tech'!B$12,IF($F95="SSV",'Fleet Tech - Tech'!B$14,"nil"))))))))))))))),0)</f>
        <v>0</v>
      </c>
      <c r="AV95" s="12">
        <f>IF($H95=3,IF(OR($F95="DDV",$F95="DDG",$F95="DD"),'Fleet Tech - Tech'!C$3,IF($F95="CL",'Fleet Tech - Tech'!C$4,IF($F95="CA",'Fleet Tech - Tech'!C$5,IF($F95="BC",'Fleet Tech - Tech'!C$6,IF($F95="BB",'Fleet Tech - Tech'!C$7,IF($F95="CVL",'Fleet Tech - Tech'!C$8,IF($F95="CV",'Fleet Tech - Tech'!C$9,IF($F95="SS",'Fleet Tech - Tech'!C$10,IF($F95="BBV",'Fleet Tech - Tech'!C$11,IF($F95="CB",'Fleet Tech - Tech'!C$15,IF($F95="AE",'Fleet Tech - Tech'!C$16,IF($F95="IX",'Fleet Tech - Tech'!C$17,IF($F95="BM",'Fleet Tech - Tech'!C$13,IF($F95="AR",'Fleet Tech - Tech'!C$12,IF($F95="SSV",'Fleet Tech - Tech'!C$14,"nil"))))))))))))))),0)</f>
        <v>0</v>
      </c>
      <c r="AW95" s="12">
        <f>IF($H95=3,IF(OR($F95="DDV",$F95="DDG",$F95="DD"),'Fleet Tech - Tech'!D$3,IF($F95="CL",'Fleet Tech - Tech'!D$4,IF($F95="CA",'Fleet Tech - Tech'!D$5,IF($F95="BC",'Fleet Tech - Tech'!D$6,IF($F95="BB",'Fleet Tech - Tech'!D$7,IF($F95="CVL",'Fleet Tech - Tech'!D$8,IF($F95="CV",'Fleet Tech - Tech'!D$9,IF($F95="SS",'Fleet Tech - Tech'!D$10,IF($F95="BBV",'Fleet Tech - Tech'!D$11,IF($F95="CB",'Fleet Tech - Tech'!D$15,IF($F95="AE",'Fleet Tech - Tech'!D$16,IF($F95="IX",'Fleet Tech - Tech'!D$17,IF($F95="BM",'Fleet Tech - Tech'!D$13,IF($F95="AR",'Fleet Tech - Tech'!D$12,IF($F95="SSV",'Fleet Tech - Tech'!D$14,"nil"))))))))))))))),0)</f>
        <v>0</v>
      </c>
      <c r="AX95" s="12">
        <f>IF($H95=3,IF(OR($F95="DDV",$F95="DDG",$F95="DD"),'Fleet Tech - Tech'!E$3,IF($F95="CL",'Fleet Tech - Tech'!E$4,IF($F95="CA",'Fleet Tech - Tech'!E$5,IF($F95="BC",'Fleet Tech - Tech'!E$6,IF($F95="BB",'Fleet Tech - Tech'!E$7,IF($F95="CVL",'Fleet Tech - Tech'!E$8,IF($F95="CV",'Fleet Tech - Tech'!E$9,IF($F95="SS",'Fleet Tech - Tech'!E$10,IF($F95="BBV",'Fleet Tech - Tech'!E$11,IF($F95="CB",'Fleet Tech - Tech'!E$15,IF($F95="AE",'Fleet Tech - Tech'!E$16,IF($F95="IX",'Fleet Tech - Tech'!E$17,IF($F95="BM",'Fleet Tech - Tech'!E$13,IF($F95="AR",'Fleet Tech - Tech'!E$12,IF($F95="SSV",'Fleet Tech - Tech'!E$14,"nil"))))))))))))))),0)</f>
        <v>0</v>
      </c>
      <c r="AY95" s="12">
        <f>IF($H95=3,IF(OR($F95="DDV",$F95="DDG",$F95="DD"),'Fleet Tech - Tech'!F$3,IF($F95="CL",'Fleet Tech - Tech'!F$4,IF($F95="CA",'Fleet Tech - Tech'!F$5,IF($F95="BC",'Fleet Tech - Tech'!F$6,IF($F95="BB",'Fleet Tech - Tech'!F$7,IF($F95="CVL",'Fleet Tech - Tech'!F$8,IF($F95="CV",'Fleet Tech - Tech'!F$9,IF($F95="SS",'Fleet Tech - Tech'!F$10,IF($F95="BBV",'Fleet Tech - Tech'!F$11,IF($F95="CB",'Fleet Tech - Tech'!F$15,IF($F95="AE",'Fleet Tech - Tech'!F$16,IF($F95="IX",'Fleet Tech - Tech'!F$17,IF($F95="BM",'Fleet Tech - Tech'!F$13,IF($F95="AR",'Fleet Tech - Tech'!F$12,IF($F95="SSV",'Fleet Tech - Tech'!F$14,"nil"))))))))))))))),0)</f>
        <v>0</v>
      </c>
      <c r="AZ95" s="12">
        <f>IF($H95=3,IF(OR($F95="DDV",$F95="DDG",$F95="DD"),'Fleet Tech - Tech'!G$3,IF($F95="CL",'Fleet Tech - Tech'!G$4,IF($F95="CA",'Fleet Tech - Tech'!G$5,IF($F95="BC",'Fleet Tech - Tech'!G$6,IF($F95="BB",'Fleet Tech - Tech'!G$7,IF($F95="CVL",'Fleet Tech - Tech'!G$8,IF($F95="CV",'Fleet Tech - Tech'!G$9,IF($F95="SS",'Fleet Tech - Tech'!G$10,IF($F95="BBV",'Fleet Tech - Tech'!G$11,IF($F95="CB",'Fleet Tech - Tech'!G$15,IF($F95="AE",'Fleet Tech - Tech'!G$16,IF($F95="IX",'Fleet Tech - Tech'!G$17,IF($F95="BM",'Fleet Tech - Tech'!G$13,IF($F95="AR",'Fleet Tech - Tech'!G$12,IF($F95="SSV",'Fleet Tech - Tech'!G$14,"nil"))))))))))))))),0)</f>
        <v>0</v>
      </c>
      <c r="BA95" s="12">
        <f>IF($H95=3,IF(OR($F95="DDV",$F95="DDG",$F95="DD"),'Fleet Tech - Tech'!H$3,IF($F95="CL",'Fleet Tech - Tech'!H$4,IF($F95="CA",'Fleet Tech - Tech'!H$5,IF($F95="BC",'Fleet Tech - Tech'!H$6,IF($F95="BB",'Fleet Tech - Tech'!H$7,IF($F95="CVL",'Fleet Tech - Tech'!H$8,IF($F95="CV",'Fleet Tech - Tech'!H$9,IF($F95="SS",'Fleet Tech - Tech'!H$10,IF($F95="BBV",'Fleet Tech - Tech'!H$11,IF($F95="CB",'Fleet Tech - Tech'!H$15,IF($F95="AE",'Fleet Tech - Tech'!H$16,IF($F95="IX",'Fleet Tech - Tech'!H$17,IF($F95="BM",'Fleet Tech - Tech'!H$13,IF($F95="AR",'Fleet Tech - Tech'!H$12,IF($F95="SSV",'Fleet Tech - Tech'!H$14,"nil"))))))))))))))),0)</f>
        <v>0</v>
      </c>
      <c r="BB95" s="12">
        <f>IF($H95=3,IF(OR($F95="DDV",$F95="DDG",$F95="DD"),'Fleet Tech - Tech'!I$3,IF($F95="CL",'Fleet Tech - Tech'!I$4,IF($F95="CA",'Fleet Tech - Tech'!I$5,IF($F95="BC",'Fleet Tech - Tech'!I$6,IF($F95="BB",'Fleet Tech - Tech'!I$7,IF($F95="CVL",'Fleet Tech - Tech'!I$8,IF($F95="CV",'Fleet Tech - Tech'!I$9,IF($F95="SS",'Fleet Tech - Tech'!I$10,IF($F95="BBV",'Fleet Tech - Tech'!I$11,IF($F95="CB",'Fleet Tech - Tech'!I$15,IF($F95="AE",'Fleet Tech - Tech'!I$16,IF($F95="IX",'Fleet Tech - Tech'!I$17,IF($F95="BM",'Fleet Tech - Tech'!I$13,IF($F95="AR",'Fleet Tech - Tech'!I$12,IF($F95="SSV",'Fleet Tech - Tech'!I$14,"nil"))))))))))))))),0)</f>
        <v>0</v>
      </c>
      <c r="BC95" s="12">
        <f>IF($H95=3,IF(OR($F95="DDV",$F95="DDG",$F95="DD"),'Fleet Tech - Tech'!J$3,IF($F95="CL",'Fleet Tech - Tech'!J$4,IF($F95="CA",'Fleet Tech - Tech'!J$5,IF($F95="BC",'Fleet Tech - Tech'!J$6,IF($F95="BB",'Fleet Tech - Tech'!J$7,IF($F95="CVL",'Fleet Tech - Tech'!J$8,IF($F95="CV",'Fleet Tech - Tech'!J$9,IF($F95="SS",'Fleet Tech - Tech'!J$10,IF($F95="BBV",'Fleet Tech - Tech'!J$11,IF($F95="CB",'Fleet Tech - Tech'!J$15,IF($F95="AE",'Fleet Tech - Tech'!J$16,IF($F95="IX",'Fleet Tech - Tech'!J$17,IF($F95="BM",'Fleet Tech - Tech'!J$13,IF($F95="AR",'Fleet Tech - Tech'!J$12,IF($F95="SSV",'Fleet Tech - Tech'!J$14,"nil"))))))))))))))),0)</f>
        <v>0</v>
      </c>
      <c r="BD95" s="12">
        <f>IF($H95=3,IF(OR($F95="DDV",$F95="DDG",$F95="DD"),'Fleet Tech - Tech'!K$3,IF($F95="CL",'Fleet Tech - Tech'!K$4,IF($F95="CA",'Fleet Tech - Tech'!K$5,IF($F95="BC",'Fleet Tech - Tech'!K$6,IF($F95="BB",'Fleet Tech - Tech'!K$7,IF($F95="CVL",'Fleet Tech - Tech'!K$8,IF($F95="CV",'Fleet Tech - Tech'!K$9,IF($F95="SS",'Fleet Tech - Tech'!K$10,IF($F95="BBV",'Fleet Tech - Tech'!K$11,IF($F95="CB",'Fleet Tech - Tech'!K$15,IF($F95="AE",'Fleet Tech - Tech'!K$16,IF($F95="IX",'Fleet Tech - Tech'!K$17,IF($F95="BM",'Fleet Tech - Tech'!K$13,IF($F95="AR",'Fleet Tech - Tech'!K$12,IF($F95="SSV",'Fleet Tech - Tech'!K$14,"nil"))))))))))))))),0)</f>
        <v>0</v>
      </c>
      <c r="BE95" s="12">
        <f>IF($H95=3,IF(OR($F95="DDV",$F95="DDG",$F95="DD"),'Fleet Tech - Tech'!L$3,IF($F95="CL",'Fleet Tech - Tech'!L$4,IF($F95="CA",'Fleet Tech - Tech'!L$5,IF($F95="BC",'Fleet Tech - Tech'!L$6,IF($F95="BB",'Fleet Tech - Tech'!L$7,IF($F95="CVL",'Fleet Tech - Tech'!L$8,IF($F95="CV",'Fleet Tech - Tech'!L$9,IF($F95="SS",'Fleet Tech - Tech'!L$10,IF($F95="BBV",'Fleet Tech - Tech'!L$11,IF($F95="CB",'Fleet Tech - Tech'!L$15,IF($F95="AE",'Fleet Tech - Tech'!L$16,IF($F95="IX",'Fleet Tech - Tech'!L$17,IF($F95="BM",'Fleet Tech - Tech'!L$13,IF($F95="AR",'Fleet Tech - Tech'!L$12,IF($F95="SSV",'Fleet Tech - Tech'!L$14,"nil"))))))))))))))),0)</f>
        <v>0</v>
      </c>
      <c r="BF95" s="12">
        <f>IF($H95=3,IF(OR($F95="DDV",$F95="DDG",$F95="DD"),'Fleet Tech - Tech'!M$3,IF($F95="CL",'Fleet Tech - Tech'!M$4,IF($F95="CA",'Fleet Tech - Tech'!M$5,IF($F95="BC",'Fleet Tech - Tech'!M$6,IF($F95="BB",'Fleet Tech - Tech'!M$7,IF($F95="CVL",'Fleet Tech - Tech'!M$8,IF($F95="CV",'Fleet Tech - Tech'!M$9,IF($F95="SS",'Fleet Tech - Tech'!M$10,IF($F95="BBV",'Fleet Tech - Tech'!M$11,IF($F95="CB",'Fleet Tech - Tech'!M$15,IF($F95="AE",'Fleet Tech - Tech'!M$16,IF($F95="IX",'Fleet Tech - Tech'!M$17,IF($F95="BM",'Fleet Tech - Tech'!M$13,IF($F95="AR",'Fleet Tech - Tech'!M$12,IF($F95="SSV",'Fleet Tech - Tech'!M$14,"nil"))))))))))))))),0)</f>
        <v>0</v>
      </c>
      <c r="BG95" s="12">
        <f>IF($H95=3,IF(OR($F95="DDV",$F95="DDG",$F95="DD"),'Fleet Tech - Tech'!N$3,IF($F95="CL",'Fleet Tech - Tech'!N$4,IF($F95="CA",'Fleet Tech - Tech'!N$5,IF($F95="BC",'Fleet Tech - Tech'!N$6,IF($F95="BB",'Fleet Tech - Tech'!N$7,IF($F95="CVL",'Fleet Tech - Tech'!N$8,IF($F95="CV",'Fleet Tech - Tech'!N$9,IF($F95="SS",'Fleet Tech - Tech'!N$10,IF($F95="BBV",'Fleet Tech - Tech'!N$11,IF($F95="CB",'Fleet Tech - Tech'!N$15,IF($F95="AE",'Fleet Tech - Tech'!N$16,IF($F95="IX",'Fleet Tech - Tech'!N$17,IF($F95="BM",'Fleet Tech - Tech'!N$13,IF($F95="AR",'Fleet Tech - Tech'!N$12,IF($F95="SSV",'Fleet Tech - Tech'!N$14,"nil"))))))))))))))),0)</f>
        <v>0</v>
      </c>
      <c r="BH95" s="28"/>
      <c r="BI95" s="12">
        <v>824</v>
      </c>
      <c r="BJ95" s="28"/>
      <c r="BK95" s="12">
        <v>52</v>
      </c>
      <c r="BL95" s="12">
        <v>27</v>
      </c>
      <c r="BM95" s="12">
        <v>70</v>
      </c>
      <c r="BN95" s="28"/>
      <c r="BO95" s="12">
        <v>67</v>
      </c>
      <c r="BP95" s="28"/>
      <c r="BQ95" s="12">
        <v>26</v>
      </c>
      <c r="BR95" s="12">
        <v>4</v>
      </c>
      <c r="BS95" s="12">
        <v>76</v>
      </c>
      <c r="BT95" s="12">
        <v>19</v>
      </c>
      <c r="BU95" s="12">
        <v>27</v>
      </c>
      <c r="BV95" s="12">
        <v>335</v>
      </c>
      <c r="BW95" s="28"/>
      <c r="BX95" s="12">
        <v>1</v>
      </c>
      <c r="BY95" s="12">
        <v>0</v>
      </c>
      <c r="BZ95" s="12">
        <v>0</v>
      </c>
      <c r="CA95" s="12">
        <v>0</v>
      </c>
      <c r="CB95" s="12">
        <v>-1</v>
      </c>
      <c r="CC95" s="12">
        <v>-1</v>
      </c>
      <c r="CD95" s="12">
        <v>-1</v>
      </c>
      <c r="CE95" s="12">
        <v>-1</v>
      </c>
      <c r="CF95" s="12">
        <v>-1</v>
      </c>
      <c r="CG95" s="12">
        <v>-1</v>
      </c>
      <c r="CH95" s="12">
        <v>-1</v>
      </c>
      <c r="CI95" s="12">
        <v>-1</v>
      </c>
      <c r="CJ95" s="47"/>
      <c r="CK95" s="48">
        <f>IF(BX95=5,320,IF(BX95=4,195,IF(BX95=3,132,IF(BX95=2,90,IF(BX95=1,58,IF(BX95=-1,0,35))))))</f>
        <v>58</v>
      </c>
      <c r="CL95" s="48">
        <f>IF(BX95=5,20,IF(BX95=4,15,IF(BX95=3,12,IF(BX95=2,10,IF(BX95=1,8,IF(BX95=-1,0,5))))))</f>
        <v>8</v>
      </c>
      <c r="CM95" s="48">
        <f>IF(BZ95=5,320,IF(BZ95=4,195,IF(BZ95=3,132,IF(BZ95=2,90,IF(BZ95=1,58,IF(BZ95=-1,0,35))))))</f>
        <v>35</v>
      </c>
      <c r="CN95" s="48">
        <f>IF(BZ95=5,20,IF(BZ95=4,15,IF(BZ95=3,12,IF(BZ95=2,10,IF(BZ95=1,8,IF(BZ95=-1,0,5))))))</f>
        <v>5</v>
      </c>
      <c r="CO95" s="48">
        <f>IF(CB95=5,320,IF(CB95=4,195,IF(CB95=3,132,IF(CB95=2,90,IF(CB95=1,58,IF(CB95=-1,0,35))))))</f>
        <v>0</v>
      </c>
      <c r="CP95" s="48">
        <f>IF(CB95=5,20,IF(CB95=4,15,IF(CB95=3,12,IF(CB95=2,10,IF(CB95=1,8,IF(CB95=-1,0,5))))))</f>
        <v>0</v>
      </c>
      <c r="CQ95" s="48">
        <f>IF(CD95=5,320,IF(CD95=4,195,IF(CD95=3,132,IF(CD95=2,90,IF(CD95=1,58,IF(CD95=-1,0,35))))))</f>
        <v>0</v>
      </c>
      <c r="CR95" s="48">
        <f>IF(CD95=5,20,IF(CD95=4,15,IF(CD95=3,12,IF(CD95=2,10,IF(CD95=1,8,IF(CD95=-1,0,5))))))</f>
        <v>0</v>
      </c>
      <c r="CS95" s="48">
        <f>IF(CF95=5,320,IF(CF95=4,195,IF(CF95=3,132,IF(CF95=2,90,IF(CF95=1,58,IF(CF95=-1,0,35))))))</f>
        <v>0</v>
      </c>
      <c r="CT95" s="48">
        <f>IF(CF95=5,20,IF(CF95=4,15,IF(CF95=3,12,IF(CF95=2,10,IF(CF95=1,8,IF(CF95=-1,0,5))))))</f>
        <v>0</v>
      </c>
      <c r="CU95" s="48">
        <f>IF(CH95=5,320,IF(CH95=4,195,IF(CH95=3,132,IF(CH95=2,90,IF(CH95=1,58,IF(CH95=-1,0,35))))))</f>
        <v>0</v>
      </c>
      <c r="CV95" s="48">
        <f>IF(CH95=5,20,IF(CH95=4,15,IF(CH95=3,12,IF(CH95=2,10,IF(CH95=1,8,IF(CH95=-1,0,5))))))</f>
        <v>0</v>
      </c>
      <c r="CW95" s="48">
        <f>IF(BY95&gt;10,(BY95/10)-ROUNDDOWN(BY95/10,0),0)+IF(CA95&gt;10,(CA95/10)-ROUNDDOWN(CA95/10,0),0)+IF(CC95&gt;10,(CC95/10)-ROUNDDOWN(CC95/10,0),0)+IF(CE95&gt;10,(CE95/10)-ROUNDDOWN(CE95/10,0),0)+IF(CG95&gt;10,(CG95/10)-ROUNDDOWN(CG95/10,0),0)+IF(CI95&gt;10,(CI95/10)-ROUNDDOWN(CI95/10,0),0)</f>
        <v>0</v>
      </c>
      <c r="CX95" s="48">
        <f>1+(CW95/10)</f>
        <v>1</v>
      </c>
    </row>
    <row r="96" ht="20.05" customHeight="1">
      <c r="A96" t="s" s="43">
        <v>375</v>
      </c>
      <c r="B96" s="49"/>
      <c r="C96" t="s" s="45">
        <v>73</v>
      </c>
      <c r="D96" s="13">
        <v>7</v>
      </c>
      <c r="E96" t="s" s="15">
        <v>240</v>
      </c>
      <c r="F96" t="s" s="15">
        <v>280</v>
      </c>
      <c r="G96" t="s" s="15">
        <v>282</v>
      </c>
      <c r="H96" s="12">
        <v>0</v>
      </c>
      <c r="I96" t="s" s="15">
        <v>263</v>
      </c>
      <c r="J96" s="12">
        <v>1</v>
      </c>
      <c r="K96" t="s" s="14">
        <v>264</v>
      </c>
      <c r="L96" t="s" s="15">
        <v>265</v>
      </c>
      <c r="M96" t="s" s="15">
        <v>69</v>
      </c>
      <c r="N96" s="46">
        <f>ROUND((SUM(AA96,T96:Y96,AC96:AE96,Z96*10)-AB96*15)*(IF(K96="Heavy",0.15,IF(K96="Medium",0,IF(K96="Light",-0.15,10)))+1),0)</f>
        <v>209</v>
      </c>
      <c r="O96" s="46">
        <v>774</v>
      </c>
      <c r="P96" s="46">
        <f>ROUNDDOWN((BI96+AU96+AG96)/5,0)+(BJ96+AV96+AH96)+(BN96+AZ96+AL96)+(BO96+BA96+AM96)+(BK96+AW96+AI96)+(BS96+BE96+AQ96)+(BL96+AX96+AJ96)+(BQ96+BC96+AO96)+(2*((BT96+BF96+AR96)+(BU96+BG96+AS96)))+(CK96+CM96+CO96+CQ96+CS96+CU96)+(CL96*BY96)+(CN96*CA96)+(CP96+CC96)+(CR96+CE96)+(CT96+CG96)+(CV96+CI96)+BV96</f>
        <v>1114</v>
      </c>
      <c r="Q96" s="46">
        <f>ROUNDDOWN(((S96/5)+T96+X96+Y96+U96+AC96+V96+AA96+(2*(AD96+AE96))+CK96+CM96+CO96+CQ96+CS96+CU96+(CL96*BX96)+(CN96*BZ96)+(CP96*CB96)+(CR96*CD96)+(CT96*CF96)+(CV96*CH96))*CX96,0)</f>
        <v>802</v>
      </c>
      <c r="R96" s="46">
        <f>ROUNDDOWN(AVERAGE(P96:Q96),0)</f>
        <v>958</v>
      </c>
      <c r="S96" s="12">
        <f>AG96+AU96+BI96</f>
        <v>1657</v>
      </c>
      <c r="T96" s="12">
        <f>AH96+AV96+BJ96</f>
        <v>99</v>
      </c>
      <c r="U96" s="12">
        <f>AI96+AW96+BK96</f>
        <v>52</v>
      </c>
      <c r="V96" s="12">
        <f>AJ96+AX96+BL96</f>
        <v>0</v>
      </c>
      <c r="W96" s="12">
        <f>AK96+AY96+BM96</f>
        <v>50</v>
      </c>
      <c r="X96" s="12">
        <f>AL96+AZ96+BN96</f>
        <v>0</v>
      </c>
      <c r="Y96" s="12">
        <f>AM96+BA96+BO96</f>
        <v>0</v>
      </c>
      <c r="Z96" s="12">
        <f>AN96+BB96+BP96</f>
        <v>0</v>
      </c>
      <c r="AA96" s="12">
        <f>AO96+BC96+BQ96</f>
        <v>28</v>
      </c>
      <c r="AB96" s="12">
        <f>AP96+BD96+BR96</f>
        <v>9</v>
      </c>
      <c r="AC96" s="12">
        <f>AQ96+BE96+BS96</f>
        <v>60</v>
      </c>
      <c r="AD96" s="12">
        <f>AR96+BF96+BT96</f>
        <v>8</v>
      </c>
      <c r="AE96" s="12">
        <f>AS96+BG96+BU96</f>
        <v>20</v>
      </c>
      <c r="AF96" s="28"/>
      <c r="AG96" s="12">
        <v>0</v>
      </c>
      <c r="AH96" s="12">
        <v>12</v>
      </c>
      <c r="AI96" s="12">
        <v>5</v>
      </c>
      <c r="AJ96" s="12">
        <v>0</v>
      </c>
      <c r="AK96" s="12">
        <v>0</v>
      </c>
      <c r="AL96" s="12">
        <v>0</v>
      </c>
      <c r="AM96" s="12">
        <v>0</v>
      </c>
      <c r="AN96" s="12">
        <v>0</v>
      </c>
      <c r="AO96" s="12">
        <v>0</v>
      </c>
      <c r="AP96" s="12">
        <v>0</v>
      </c>
      <c r="AQ96" s="12">
        <v>0</v>
      </c>
      <c r="AR96" s="12">
        <v>0</v>
      </c>
      <c r="AS96" s="12">
        <v>0</v>
      </c>
      <c r="AT96" s="28"/>
      <c r="AU96" s="12">
        <f>IF($H96=3,IF(OR($F96="DDV",$F96="DDG",$F96="DD"),'Fleet Tech - Tech'!B$3,IF($F96="CL",'Fleet Tech - Tech'!B$4,IF($F96="CA",'Fleet Tech - Tech'!B$5,IF($F96="BC",'Fleet Tech - Tech'!B$6,IF($F96="BB",'Fleet Tech - Tech'!B$7,IF($F96="CVL",'Fleet Tech - Tech'!B$8,IF($F96="CV",'Fleet Tech - Tech'!B$9,IF($F96="SS",'Fleet Tech - Tech'!B$10,IF($F96="BBV",'Fleet Tech - Tech'!B$11,IF($F96="CB",'Fleet Tech - Tech'!B$15,IF($F96="AE",'Fleet Tech - Tech'!B$16,IF($F96="IX",'Fleet Tech - Tech'!B$17,IF($F96="BM",'Fleet Tech - Tech'!B$13,IF($F96="AR",'Fleet Tech - Tech'!B$12,IF($F96="SSV",'Fleet Tech - Tech'!B$14,"nil"))))))))))))))),0)</f>
        <v>0</v>
      </c>
      <c r="AV96" s="12">
        <f>IF($H96=3,IF(OR($F96="DDV",$F96="DDG",$F96="DD"),'Fleet Tech - Tech'!C$3,IF($F96="CL",'Fleet Tech - Tech'!C$4,IF($F96="CA",'Fleet Tech - Tech'!C$5,IF($F96="BC",'Fleet Tech - Tech'!C$6,IF($F96="BB",'Fleet Tech - Tech'!C$7,IF($F96="CVL",'Fleet Tech - Tech'!C$8,IF($F96="CV",'Fleet Tech - Tech'!C$9,IF($F96="SS",'Fleet Tech - Tech'!C$10,IF($F96="BBV",'Fleet Tech - Tech'!C$11,IF($F96="CB",'Fleet Tech - Tech'!C$15,IF($F96="AE",'Fleet Tech - Tech'!C$16,IF($F96="IX",'Fleet Tech - Tech'!C$17,IF($F96="BM",'Fleet Tech - Tech'!C$13,IF($F96="AR",'Fleet Tech - Tech'!C$12,IF($F96="SSV",'Fleet Tech - Tech'!C$14,"nil"))))))))))))))),0)</f>
        <v>0</v>
      </c>
      <c r="AW96" s="12">
        <f>IF($H96=3,IF(OR($F96="DDV",$F96="DDG",$F96="DD"),'Fleet Tech - Tech'!D$3,IF($F96="CL",'Fleet Tech - Tech'!D$4,IF($F96="CA",'Fleet Tech - Tech'!D$5,IF($F96="BC",'Fleet Tech - Tech'!D$6,IF($F96="BB",'Fleet Tech - Tech'!D$7,IF($F96="CVL",'Fleet Tech - Tech'!D$8,IF($F96="CV",'Fleet Tech - Tech'!D$9,IF($F96="SS",'Fleet Tech - Tech'!D$10,IF($F96="BBV",'Fleet Tech - Tech'!D$11,IF($F96="CB",'Fleet Tech - Tech'!D$15,IF($F96="AE",'Fleet Tech - Tech'!D$16,IF($F96="IX",'Fleet Tech - Tech'!D$17,IF($F96="BM",'Fleet Tech - Tech'!D$13,IF($F96="AR",'Fleet Tech - Tech'!D$12,IF($F96="SSV",'Fleet Tech - Tech'!D$14,"nil"))))))))))))))),0)</f>
        <v>0</v>
      </c>
      <c r="AX96" s="12">
        <f>IF($H96=3,IF(OR($F96="DDV",$F96="DDG",$F96="DD"),'Fleet Tech - Tech'!E$3,IF($F96="CL",'Fleet Tech - Tech'!E$4,IF($F96="CA",'Fleet Tech - Tech'!E$5,IF($F96="BC",'Fleet Tech - Tech'!E$6,IF($F96="BB",'Fleet Tech - Tech'!E$7,IF($F96="CVL",'Fleet Tech - Tech'!E$8,IF($F96="CV",'Fleet Tech - Tech'!E$9,IF($F96="SS",'Fleet Tech - Tech'!E$10,IF($F96="BBV",'Fleet Tech - Tech'!E$11,IF($F96="CB",'Fleet Tech - Tech'!E$15,IF($F96="AE",'Fleet Tech - Tech'!E$16,IF($F96="IX",'Fleet Tech - Tech'!E$17,IF($F96="BM",'Fleet Tech - Tech'!E$13,IF($F96="AR",'Fleet Tech - Tech'!E$12,IF($F96="SSV",'Fleet Tech - Tech'!E$14,"nil"))))))))))))))),0)</f>
        <v>0</v>
      </c>
      <c r="AY96" s="12">
        <f>IF($H96=3,IF(OR($F96="DDV",$F96="DDG",$F96="DD"),'Fleet Tech - Tech'!F$3,IF($F96="CL",'Fleet Tech - Tech'!F$4,IF($F96="CA",'Fleet Tech - Tech'!F$5,IF($F96="BC",'Fleet Tech - Tech'!F$6,IF($F96="BB",'Fleet Tech - Tech'!F$7,IF($F96="CVL",'Fleet Tech - Tech'!F$8,IF($F96="CV",'Fleet Tech - Tech'!F$9,IF($F96="SS",'Fleet Tech - Tech'!F$10,IF($F96="BBV",'Fleet Tech - Tech'!F$11,IF($F96="CB",'Fleet Tech - Tech'!F$15,IF($F96="AE",'Fleet Tech - Tech'!F$16,IF($F96="IX",'Fleet Tech - Tech'!F$17,IF($F96="BM",'Fleet Tech - Tech'!F$13,IF($F96="AR",'Fleet Tech - Tech'!F$12,IF($F96="SSV",'Fleet Tech - Tech'!F$14,"nil"))))))))))))))),0)</f>
        <v>0</v>
      </c>
      <c r="AZ96" s="12">
        <f>IF($H96=3,IF(OR($F96="DDV",$F96="DDG",$F96="DD"),'Fleet Tech - Tech'!G$3,IF($F96="CL",'Fleet Tech - Tech'!G$4,IF($F96="CA",'Fleet Tech - Tech'!G$5,IF($F96="BC",'Fleet Tech - Tech'!G$6,IF($F96="BB",'Fleet Tech - Tech'!G$7,IF($F96="CVL",'Fleet Tech - Tech'!G$8,IF($F96="CV",'Fleet Tech - Tech'!G$9,IF($F96="SS",'Fleet Tech - Tech'!G$10,IF($F96="BBV",'Fleet Tech - Tech'!G$11,IF($F96="CB",'Fleet Tech - Tech'!G$15,IF($F96="AE",'Fleet Tech - Tech'!G$16,IF($F96="IX",'Fleet Tech - Tech'!G$17,IF($F96="BM",'Fleet Tech - Tech'!G$13,IF($F96="AR",'Fleet Tech - Tech'!G$12,IF($F96="SSV",'Fleet Tech - Tech'!G$14,"nil"))))))))))))))),0)</f>
        <v>0</v>
      </c>
      <c r="BA96" s="12">
        <f>IF($H96=3,IF(OR($F96="DDV",$F96="DDG",$F96="DD"),'Fleet Tech - Tech'!H$3,IF($F96="CL",'Fleet Tech - Tech'!H$4,IF($F96="CA",'Fleet Tech - Tech'!H$5,IF($F96="BC",'Fleet Tech - Tech'!H$6,IF($F96="BB",'Fleet Tech - Tech'!H$7,IF($F96="CVL",'Fleet Tech - Tech'!H$8,IF($F96="CV",'Fleet Tech - Tech'!H$9,IF($F96="SS",'Fleet Tech - Tech'!H$10,IF($F96="BBV",'Fleet Tech - Tech'!H$11,IF($F96="CB",'Fleet Tech - Tech'!H$15,IF($F96="AE",'Fleet Tech - Tech'!H$16,IF($F96="IX",'Fleet Tech - Tech'!H$17,IF($F96="BM",'Fleet Tech - Tech'!H$13,IF($F96="AR",'Fleet Tech - Tech'!H$12,IF($F96="SSV",'Fleet Tech - Tech'!H$14,"nil"))))))))))))))),0)</f>
        <v>0</v>
      </c>
      <c r="BB96" s="12">
        <f>IF($H96=3,IF(OR($F96="DDV",$F96="DDG",$F96="DD"),'Fleet Tech - Tech'!I$3,IF($F96="CL",'Fleet Tech - Tech'!I$4,IF($F96="CA",'Fleet Tech - Tech'!I$5,IF($F96="BC",'Fleet Tech - Tech'!I$6,IF($F96="BB",'Fleet Tech - Tech'!I$7,IF($F96="CVL",'Fleet Tech - Tech'!I$8,IF($F96="CV",'Fleet Tech - Tech'!I$9,IF($F96="SS",'Fleet Tech - Tech'!I$10,IF($F96="BBV",'Fleet Tech - Tech'!I$11,IF($F96="CB",'Fleet Tech - Tech'!I$15,IF($F96="AE",'Fleet Tech - Tech'!I$16,IF($F96="IX",'Fleet Tech - Tech'!I$17,IF($F96="BM",'Fleet Tech - Tech'!I$13,IF($F96="AR",'Fleet Tech - Tech'!I$12,IF($F96="SSV",'Fleet Tech - Tech'!I$14,"nil"))))))))))))))),0)</f>
        <v>0</v>
      </c>
      <c r="BC96" s="12">
        <f>IF($H96=3,IF(OR($F96="DDV",$F96="DDG",$F96="DD"),'Fleet Tech - Tech'!J$3,IF($F96="CL",'Fleet Tech - Tech'!J$4,IF($F96="CA",'Fleet Tech - Tech'!J$5,IF($F96="BC",'Fleet Tech - Tech'!J$6,IF($F96="BB",'Fleet Tech - Tech'!J$7,IF($F96="CVL",'Fleet Tech - Tech'!J$8,IF($F96="CV",'Fleet Tech - Tech'!J$9,IF($F96="SS",'Fleet Tech - Tech'!J$10,IF($F96="BBV",'Fleet Tech - Tech'!J$11,IF($F96="CB",'Fleet Tech - Tech'!J$15,IF($F96="AE",'Fleet Tech - Tech'!J$16,IF($F96="IX",'Fleet Tech - Tech'!J$17,IF($F96="BM",'Fleet Tech - Tech'!J$13,IF($F96="AR",'Fleet Tech - Tech'!J$12,IF($F96="SSV",'Fleet Tech - Tech'!J$14,"nil"))))))))))))))),0)</f>
        <v>0</v>
      </c>
      <c r="BD96" s="12">
        <f>IF($H96=3,IF(OR($F96="DDV",$F96="DDG",$F96="DD"),'Fleet Tech - Tech'!K$3,IF($F96="CL",'Fleet Tech - Tech'!K$4,IF($F96="CA",'Fleet Tech - Tech'!K$5,IF($F96="BC",'Fleet Tech - Tech'!K$6,IF($F96="BB",'Fleet Tech - Tech'!K$7,IF($F96="CVL",'Fleet Tech - Tech'!K$8,IF($F96="CV",'Fleet Tech - Tech'!K$9,IF($F96="SS",'Fleet Tech - Tech'!K$10,IF($F96="BBV",'Fleet Tech - Tech'!K$11,IF($F96="CB",'Fleet Tech - Tech'!K$15,IF($F96="AE",'Fleet Tech - Tech'!K$16,IF($F96="IX",'Fleet Tech - Tech'!K$17,IF($F96="BM",'Fleet Tech - Tech'!K$13,IF($F96="AR",'Fleet Tech - Tech'!K$12,IF($F96="SSV",'Fleet Tech - Tech'!K$14,"nil"))))))))))))))),0)</f>
        <v>0</v>
      </c>
      <c r="BE96" s="12">
        <f>IF($H96=3,IF(OR($F96="DDV",$F96="DDG",$F96="DD"),'Fleet Tech - Tech'!L$3,IF($F96="CL",'Fleet Tech - Tech'!L$4,IF($F96="CA",'Fleet Tech - Tech'!L$5,IF($F96="BC",'Fleet Tech - Tech'!L$6,IF($F96="BB",'Fleet Tech - Tech'!L$7,IF($F96="CVL",'Fleet Tech - Tech'!L$8,IF($F96="CV",'Fleet Tech - Tech'!L$9,IF($F96="SS",'Fleet Tech - Tech'!L$10,IF($F96="BBV",'Fleet Tech - Tech'!L$11,IF($F96="CB",'Fleet Tech - Tech'!L$15,IF($F96="AE",'Fleet Tech - Tech'!L$16,IF($F96="IX",'Fleet Tech - Tech'!L$17,IF($F96="BM",'Fleet Tech - Tech'!L$13,IF($F96="AR",'Fleet Tech - Tech'!L$12,IF($F96="SSV",'Fleet Tech - Tech'!L$14,"nil"))))))))))))))),0)</f>
        <v>0</v>
      </c>
      <c r="BF96" s="12">
        <f>IF($H96=3,IF(OR($F96="DDV",$F96="DDG",$F96="DD"),'Fleet Tech - Tech'!M$3,IF($F96="CL",'Fleet Tech - Tech'!M$4,IF($F96="CA",'Fleet Tech - Tech'!M$5,IF($F96="BC",'Fleet Tech - Tech'!M$6,IF($F96="BB",'Fleet Tech - Tech'!M$7,IF($F96="CVL",'Fleet Tech - Tech'!M$8,IF($F96="CV",'Fleet Tech - Tech'!M$9,IF($F96="SS",'Fleet Tech - Tech'!M$10,IF($F96="BBV",'Fleet Tech - Tech'!M$11,IF($F96="CB",'Fleet Tech - Tech'!M$15,IF($F96="AE",'Fleet Tech - Tech'!M$16,IF($F96="IX",'Fleet Tech - Tech'!M$17,IF($F96="BM",'Fleet Tech - Tech'!M$13,IF($F96="AR",'Fleet Tech - Tech'!M$12,IF($F96="SSV",'Fleet Tech - Tech'!M$14,"nil"))))))))))))))),0)</f>
        <v>0</v>
      </c>
      <c r="BG96" s="12">
        <f>IF($H96=3,IF(OR($F96="DDV",$F96="DDG",$F96="DD"),'Fleet Tech - Tech'!N$3,IF($F96="CL",'Fleet Tech - Tech'!N$4,IF($F96="CA",'Fleet Tech - Tech'!N$5,IF($F96="BC",'Fleet Tech - Tech'!N$6,IF($F96="BB",'Fleet Tech - Tech'!N$7,IF($F96="CVL",'Fleet Tech - Tech'!N$8,IF($F96="CV",'Fleet Tech - Tech'!N$9,IF($F96="SS",'Fleet Tech - Tech'!N$10,IF($F96="BBV",'Fleet Tech - Tech'!N$11,IF($F96="CB",'Fleet Tech - Tech'!N$15,IF($F96="AE",'Fleet Tech - Tech'!N$16,IF($F96="IX",'Fleet Tech - Tech'!N$17,IF($F96="BM",'Fleet Tech - Tech'!N$13,IF($F96="AR",'Fleet Tech - Tech'!N$12,IF($F96="SSV",'Fleet Tech - Tech'!N$14,"nil"))))))))))))))),0)</f>
        <v>0</v>
      </c>
      <c r="BH96" s="28"/>
      <c r="BI96" s="12">
        <v>1657</v>
      </c>
      <c r="BJ96" s="12">
        <v>87</v>
      </c>
      <c r="BK96" s="12">
        <v>47</v>
      </c>
      <c r="BL96" s="12">
        <v>0</v>
      </c>
      <c r="BM96" s="12">
        <v>50</v>
      </c>
      <c r="BN96" s="12">
        <v>0</v>
      </c>
      <c r="BO96" s="12">
        <v>0</v>
      </c>
      <c r="BP96" s="12">
        <v>0</v>
      </c>
      <c r="BQ96" s="12">
        <v>28</v>
      </c>
      <c r="BR96" s="12">
        <v>9</v>
      </c>
      <c r="BS96" s="12">
        <v>60</v>
      </c>
      <c r="BT96" s="12">
        <v>8</v>
      </c>
      <c r="BU96" s="12">
        <v>20</v>
      </c>
      <c r="BV96" s="12">
        <v>335</v>
      </c>
      <c r="BW96" s="28"/>
      <c r="BX96" s="12">
        <v>2</v>
      </c>
      <c r="BY96" s="12">
        <v>0</v>
      </c>
      <c r="BZ96" s="12">
        <v>-1</v>
      </c>
      <c r="CA96" s="12">
        <v>-1</v>
      </c>
      <c r="CB96" s="12">
        <v>1</v>
      </c>
      <c r="CC96" s="12">
        <v>0</v>
      </c>
      <c r="CD96" s="12">
        <v>-1</v>
      </c>
      <c r="CE96" s="12">
        <v>-1</v>
      </c>
      <c r="CF96" s="12">
        <v>-1</v>
      </c>
      <c r="CG96" s="12">
        <v>-1</v>
      </c>
      <c r="CH96" s="12">
        <v>-1</v>
      </c>
      <c r="CI96" s="12">
        <v>-1</v>
      </c>
      <c r="CJ96" s="47"/>
      <c r="CK96" s="48">
        <f>IF(BX96=5,320,IF(BX96=4,195,IF(BX96=3,132,IF(BX96=2,90,IF(BX96=1,58,IF(BX96=-1,0,35))))))</f>
        <v>90</v>
      </c>
      <c r="CL96" s="48">
        <f>IF(BX96=5,20,IF(BX96=4,15,IF(BX96=3,12,IF(BX96=2,10,IF(BX96=1,8,IF(BX96=-1,0,5))))))</f>
        <v>10</v>
      </c>
      <c r="CM96" s="48">
        <f>IF(BZ96=5,320,IF(BZ96=4,195,IF(BZ96=3,132,IF(BZ96=2,90,IF(BZ96=1,58,IF(BZ96=-1,0,35))))))</f>
        <v>0</v>
      </c>
      <c r="CN96" s="48">
        <f>IF(BZ96=5,20,IF(BZ96=4,15,IF(BZ96=3,12,IF(BZ96=2,10,IF(BZ96=1,8,IF(BZ96=-1,0,5))))))</f>
        <v>0</v>
      </c>
      <c r="CO96" s="48">
        <f>IF(CB96=5,320,IF(CB96=4,195,IF(CB96=3,132,IF(CB96=2,90,IF(CB96=1,58,IF(CB96=-1,0,35))))))</f>
        <v>58</v>
      </c>
      <c r="CP96" s="48">
        <f>IF(CB96=5,20,IF(CB96=4,15,IF(CB96=3,12,IF(CB96=2,10,IF(CB96=1,8,IF(CB96=-1,0,5))))))</f>
        <v>8</v>
      </c>
      <c r="CQ96" s="48">
        <f>IF(CD96=5,320,IF(CD96=4,195,IF(CD96=3,132,IF(CD96=2,90,IF(CD96=1,58,IF(CD96=-1,0,35))))))</f>
        <v>0</v>
      </c>
      <c r="CR96" s="48">
        <f>IF(CD96=5,20,IF(CD96=4,15,IF(CD96=3,12,IF(CD96=2,10,IF(CD96=1,8,IF(CD96=-1,0,5))))))</f>
        <v>0</v>
      </c>
      <c r="CS96" s="48">
        <f>IF(CF96=5,320,IF(CF96=4,195,IF(CF96=3,132,IF(CF96=2,90,IF(CF96=1,58,IF(CF96=-1,0,35))))))</f>
        <v>0</v>
      </c>
      <c r="CT96" s="48">
        <f>IF(CF96=5,20,IF(CF96=4,15,IF(CF96=3,12,IF(CF96=2,10,IF(CF96=1,8,IF(CF96=-1,0,5))))))</f>
        <v>0</v>
      </c>
      <c r="CU96" s="48">
        <f>IF(CH96=5,320,IF(CH96=4,195,IF(CH96=3,132,IF(CH96=2,90,IF(CH96=1,58,IF(CH96=-1,0,35))))))</f>
        <v>0</v>
      </c>
      <c r="CV96" s="48">
        <f>IF(CH96=5,20,IF(CH96=4,15,IF(CH96=3,12,IF(CH96=2,10,IF(CH96=1,8,IF(CH96=-1,0,5))))))</f>
        <v>0</v>
      </c>
      <c r="CW96" s="48">
        <f>IF(BY96&gt;10,(BY96/10)-ROUNDDOWN(BY96/10,0),0)+IF(CA96&gt;10,(CA96/10)-ROUNDDOWN(CA96/10,0),0)+IF(CC96&gt;10,(CC96/10)-ROUNDDOWN(CC96/10,0),0)+IF(CE96&gt;10,(CE96/10)-ROUNDDOWN(CE96/10,0),0)+IF(CG96&gt;10,(CG96/10)-ROUNDDOWN(CG96/10,0),0)+IF(CI96&gt;10,(CI96/10)-ROUNDDOWN(CI96/10,0),0)</f>
        <v>0</v>
      </c>
      <c r="CX96" s="48">
        <f>1+(CW96/10)</f>
        <v>1</v>
      </c>
    </row>
    <row r="97" ht="20.05" customHeight="1">
      <c r="A97" t="s" s="43">
        <v>376</v>
      </c>
      <c r="B97" s="49"/>
      <c r="C97" t="s" s="45">
        <v>73</v>
      </c>
      <c r="D97" s="13">
        <v>7</v>
      </c>
      <c r="E97" t="s" s="15">
        <v>240</v>
      </c>
      <c r="F97" t="s" s="15">
        <v>297</v>
      </c>
      <c r="G97" t="s" s="15">
        <v>282</v>
      </c>
      <c r="H97" s="12">
        <v>0</v>
      </c>
      <c r="I97" t="s" s="15">
        <v>277</v>
      </c>
      <c r="J97" s="12">
        <v>1</v>
      </c>
      <c r="K97" t="s" s="14">
        <v>242</v>
      </c>
      <c r="L97" t="s" s="15">
        <v>237</v>
      </c>
      <c r="M97" t="s" s="15">
        <v>25</v>
      </c>
      <c r="N97" s="46">
        <f>ROUND((SUM(AA97,T97:Y97,AC97:AE97,Z97*10)-AB97*15)*(IF(K97="Heavy",0.15,IF(K97="Medium",0,IF(K97="Light",-0.15,10)))+1),0)</f>
        <v>269</v>
      </c>
      <c r="O97" s="46">
        <v>607</v>
      </c>
      <c r="P97" s="46">
        <f>ROUNDDOWN((BI97+AU97+AG97)/5,0)+(BJ97+AV97+AH97)+(BN97+AZ97+AL97)+(BO97+BA97+AM97)+(BK97+AW97+AI97)+(BS97+BE97+AQ97)+(BL97+AX97+AJ97)+(BQ97+BC97+AO97)+(2*((BT97+BF97+AR97)+(BU97+BG97+AS97)))+(CK97+CM97+CO97+CQ97+CS97+CU97)+(CL97*BY97)+(CN97*CA97)+(CP97+CC97)+(CR97+CE97)+(CT97+CG97)+(CV97+CI97)+BV97</f>
        <v>938</v>
      </c>
      <c r="Q97" s="46">
        <f>ROUNDDOWN(((S97/5)+T97+X97+Y97+U97+AC97+V97+AA97+(2*(AD97+AE97))+CK97+CM97+CO97+CQ97+CS97+CU97+(CL97*BX97)+(CN97*BZ97)+(CP97*CB97)+(CR97*CD97)+(CT97*CF97)+(CV97*CH97))*CX97,0)</f>
        <v>623</v>
      </c>
      <c r="R97" s="46">
        <f>ROUNDDOWN(AVERAGE(P97:Q97),0)</f>
        <v>780</v>
      </c>
      <c r="S97" s="12">
        <f>AG97+AU97+BI97</f>
        <v>787</v>
      </c>
      <c r="T97" s="12">
        <f>AH97+AV97+BJ97</f>
        <v>0</v>
      </c>
      <c r="U97" s="12">
        <f>AI97+AW97+BK97</f>
        <v>49</v>
      </c>
      <c r="V97" s="12">
        <f>AJ97+AX97+BL97</f>
        <v>17</v>
      </c>
      <c r="W97" s="12">
        <f>AK97+AY97+BM97</f>
        <v>30</v>
      </c>
      <c r="X97" s="12">
        <f>AL97+AZ97+BN97</f>
        <v>0</v>
      </c>
      <c r="Y97" s="12">
        <f>AM97+BA97+BO97</f>
        <v>70</v>
      </c>
      <c r="Z97" s="12">
        <f>AN97+BB97+BP97</f>
        <v>0</v>
      </c>
      <c r="AA97" s="12">
        <f>AO97+BC97+BQ97</f>
        <v>32</v>
      </c>
      <c r="AB97" s="12">
        <f>AP97+BD97+BR97</f>
        <v>3</v>
      </c>
      <c r="AC97" s="12">
        <f>AQ97+BE97+BS97</f>
        <v>66</v>
      </c>
      <c r="AD97" s="12">
        <f>AR97+BF97+BT97</f>
        <v>21</v>
      </c>
      <c r="AE97" s="12">
        <f>AS97+BG97+BU97</f>
        <v>29</v>
      </c>
      <c r="AF97" s="28"/>
      <c r="AG97" s="28"/>
      <c r="AH97" s="28"/>
      <c r="AI97" s="28"/>
      <c r="AJ97" s="28"/>
      <c r="AK97" s="28"/>
      <c r="AL97" s="28"/>
      <c r="AM97" s="12">
        <v>10</v>
      </c>
      <c r="AN97" s="28"/>
      <c r="AO97" s="28"/>
      <c r="AP97" s="28"/>
      <c r="AQ97" s="28"/>
      <c r="AR97" s="28"/>
      <c r="AS97" s="28"/>
      <c r="AT97" s="28"/>
      <c r="AU97" s="12">
        <f>IF($H97=3,IF(OR($F97="DDV",$F97="DDG",$F97="DD"),'Fleet Tech - Tech'!B$3,IF($F97="CL",'Fleet Tech - Tech'!B$4,IF($F97="CA",'Fleet Tech - Tech'!B$5,IF($F97="BC",'Fleet Tech - Tech'!B$6,IF($F97="BB",'Fleet Tech - Tech'!B$7,IF($F97="CVL",'Fleet Tech - Tech'!B$8,IF($F97="CV",'Fleet Tech - Tech'!B$9,IF($F97="SS",'Fleet Tech - Tech'!B$10,IF($F97="BBV",'Fleet Tech - Tech'!B$11,IF($F97="CB",'Fleet Tech - Tech'!B$15,IF($F97="AE",'Fleet Tech - Tech'!B$16,IF($F97="IX",'Fleet Tech - Tech'!B$17,IF($F97="BM",'Fleet Tech - Tech'!B$13,IF($F97="AR",'Fleet Tech - Tech'!B$12,IF($F97="SSV",'Fleet Tech - Tech'!B$14,"nil"))))))))))))))),0)</f>
        <v>0</v>
      </c>
      <c r="AV97" s="12">
        <f>IF($H97=3,IF(OR($F97="DDV",$F97="DDG",$F97="DD"),'Fleet Tech - Tech'!C$3,IF($F97="CL",'Fleet Tech - Tech'!C$4,IF($F97="CA",'Fleet Tech - Tech'!C$5,IF($F97="BC",'Fleet Tech - Tech'!C$6,IF($F97="BB",'Fleet Tech - Tech'!C$7,IF($F97="CVL",'Fleet Tech - Tech'!C$8,IF($F97="CV",'Fleet Tech - Tech'!C$9,IF($F97="SS",'Fleet Tech - Tech'!C$10,IF($F97="BBV",'Fleet Tech - Tech'!C$11,IF($F97="CB",'Fleet Tech - Tech'!C$15,IF($F97="AE",'Fleet Tech - Tech'!C$16,IF($F97="IX",'Fleet Tech - Tech'!C$17,IF($F97="BM",'Fleet Tech - Tech'!C$13,IF($F97="AR",'Fleet Tech - Tech'!C$12,IF($F97="SSV",'Fleet Tech - Tech'!C$14,"nil"))))))))))))))),0)</f>
        <v>0</v>
      </c>
      <c r="AW97" s="12">
        <f>IF($H97=3,IF(OR($F97="DDV",$F97="DDG",$F97="DD"),'Fleet Tech - Tech'!D$3,IF($F97="CL",'Fleet Tech - Tech'!D$4,IF($F97="CA",'Fleet Tech - Tech'!D$5,IF($F97="BC",'Fleet Tech - Tech'!D$6,IF($F97="BB",'Fleet Tech - Tech'!D$7,IF($F97="CVL",'Fleet Tech - Tech'!D$8,IF($F97="CV",'Fleet Tech - Tech'!D$9,IF($F97="SS",'Fleet Tech - Tech'!D$10,IF($F97="BBV",'Fleet Tech - Tech'!D$11,IF($F97="CB",'Fleet Tech - Tech'!D$15,IF($F97="AE",'Fleet Tech - Tech'!D$16,IF($F97="IX",'Fleet Tech - Tech'!D$17,IF($F97="BM",'Fleet Tech - Tech'!D$13,IF($F97="AR",'Fleet Tech - Tech'!D$12,IF($F97="SSV",'Fleet Tech - Tech'!D$14,"nil"))))))))))))))),0)</f>
        <v>0</v>
      </c>
      <c r="AX97" s="12">
        <f>IF($H97=3,IF(OR($F97="DDV",$F97="DDG",$F97="DD"),'Fleet Tech - Tech'!E$3,IF($F97="CL",'Fleet Tech - Tech'!E$4,IF($F97="CA",'Fleet Tech - Tech'!E$5,IF($F97="BC",'Fleet Tech - Tech'!E$6,IF($F97="BB",'Fleet Tech - Tech'!E$7,IF($F97="CVL",'Fleet Tech - Tech'!E$8,IF($F97="CV",'Fleet Tech - Tech'!E$9,IF($F97="SS",'Fleet Tech - Tech'!E$10,IF($F97="BBV",'Fleet Tech - Tech'!E$11,IF($F97="CB",'Fleet Tech - Tech'!E$15,IF($F97="AE",'Fleet Tech - Tech'!E$16,IF($F97="IX",'Fleet Tech - Tech'!E$17,IF($F97="BM",'Fleet Tech - Tech'!E$13,IF($F97="AR",'Fleet Tech - Tech'!E$12,IF($F97="SSV",'Fleet Tech - Tech'!E$14,"nil"))))))))))))))),0)</f>
        <v>0</v>
      </c>
      <c r="AY97" s="12">
        <f>IF($H97=3,IF(OR($F97="DDV",$F97="DDG",$F97="DD"),'Fleet Tech - Tech'!F$3,IF($F97="CL",'Fleet Tech - Tech'!F$4,IF($F97="CA",'Fleet Tech - Tech'!F$5,IF($F97="BC",'Fleet Tech - Tech'!F$6,IF($F97="BB",'Fleet Tech - Tech'!F$7,IF($F97="CVL",'Fleet Tech - Tech'!F$8,IF($F97="CV",'Fleet Tech - Tech'!F$9,IF($F97="SS",'Fleet Tech - Tech'!F$10,IF($F97="BBV",'Fleet Tech - Tech'!F$11,IF($F97="CB",'Fleet Tech - Tech'!F$15,IF($F97="AE",'Fleet Tech - Tech'!F$16,IF($F97="IX",'Fleet Tech - Tech'!F$17,IF($F97="BM",'Fleet Tech - Tech'!F$13,IF($F97="AR",'Fleet Tech - Tech'!F$12,IF($F97="SSV",'Fleet Tech - Tech'!F$14,"nil"))))))))))))))),0)</f>
        <v>0</v>
      </c>
      <c r="AZ97" s="12">
        <f>IF($H97=3,IF(OR($F97="DDV",$F97="DDG",$F97="DD"),'Fleet Tech - Tech'!G$3,IF($F97="CL",'Fleet Tech - Tech'!G$4,IF($F97="CA",'Fleet Tech - Tech'!G$5,IF($F97="BC",'Fleet Tech - Tech'!G$6,IF($F97="BB",'Fleet Tech - Tech'!G$7,IF($F97="CVL",'Fleet Tech - Tech'!G$8,IF($F97="CV",'Fleet Tech - Tech'!G$9,IF($F97="SS",'Fleet Tech - Tech'!G$10,IF($F97="BBV",'Fleet Tech - Tech'!G$11,IF($F97="CB",'Fleet Tech - Tech'!G$15,IF($F97="AE",'Fleet Tech - Tech'!G$16,IF($F97="IX",'Fleet Tech - Tech'!G$17,IF($F97="BM",'Fleet Tech - Tech'!G$13,IF($F97="AR",'Fleet Tech - Tech'!G$12,IF($F97="SSV",'Fleet Tech - Tech'!G$14,"nil"))))))))))))))),0)</f>
        <v>0</v>
      </c>
      <c r="BA97" s="12">
        <f>IF($H97=3,IF(OR($F97="DDV",$F97="DDG",$F97="DD"),'Fleet Tech - Tech'!H$3,IF($F97="CL",'Fleet Tech - Tech'!H$4,IF($F97="CA",'Fleet Tech - Tech'!H$5,IF($F97="BC",'Fleet Tech - Tech'!H$6,IF($F97="BB",'Fleet Tech - Tech'!H$7,IF($F97="CVL",'Fleet Tech - Tech'!H$8,IF($F97="CV",'Fleet Tech - Tech'!H$9,IF($F97="SS",'Fleet Tech - Tech'!H$10,IF($F97="BBV",'Fleet Tech - Tech'!H$11,IF($F97="CB",'Fleet Tech - Tech'!H$15,IF($F97="AE",'Fleet Tech - Tech'!H$16,IF($F97="IX",'Fleet Tech - Tech'!H$17,IF($F97="BM",'Fleet Tech - Tech'!H$13,IF($F97="AR",'Fleet Tech - Tech'!H$12,IF($F97="SSV",'Fleet Tech - Tech'!H$14,"nil"))))))))))))))),0)</f>
        <v>0</v>
      </c>
      <c r="BB97" s="12">
        <f>IF($H97=3,IF(OR($F97="DDV",$F97="DDG",$F97="DD"),'Fleet Tech - Tech'!I$3,IF($F97="CL",'Fleet Tech - Tech'!I$4,IF($F97="CA",'Fleet Tech - Tech'!I$5,IF($F97="BC",'Fleet Tech - Tech'!I$6,IF($F97="BB",'Fleet Tech - Tech'!I$7,IF($F97="CVL",'Fleet Tech - Tech'!I$8,IF($F97="CV",'Fleet Tech - Tech'!I$9,IF($F97="SS",'Fleet Tech - Tech'!I$10,IF($F97="BBV",'Fleet Tech - Tech'!I$11,IF($F97="CB",'Fleet Tech - Tech'!I$15,IF($F97="AE",'Fleet Tech - Tech'!I$16,IF($F97="IX",'Fleet Tech - Tech'!I$17,IF($F97="BM",'Fleet Tech - Tech'!I$13,IF($F97="AR",'Fleet Tech - Tech'!I$12,IF($F97="SSV",'Fleet Tech - Tech'!I$14,"nil"))))))))))))))),0)</f>
        <v>0</v>
      </c>
      <c r="BC97" s="12">
        <f>IF($H97=3,IF(OR($F97="DDV",$F97="DDG",$F97="DD"),'Fleet Tech - Tech'!J$3,IF($F97="CL",'Fleet Tech - Tech'!J$4,IF($F97="CA",'Fleet Tech - Tech'!J$5,IF($F97="BC",'Fleet Tech - Tech'!J$6,IF($F97="BB",'Fleet Tech - Tech'!J$7,IF($F97="CVL",'Fleet Tech - Tech'!J$8,IF($F97="CV",'Fleet Tech - Tech'!J$9,IF($F97="SS",'Fleet Tech - Tech'!J$10,IF($F97="BBV",'Fleet Tech - Tech'!J$11,IF($F97="CB",'Fleet Tech - Tech'!J$15,IF($F97="AE",'Fleet Tech - Tech'!J$16,IF($F97="IX",'Fleet Tech - Tech'!J$17,IF($F97="BM",'Fleet Tech - Tech'!J$13,IF($F97="AR",'Fleet Tech - Tech'!J$12,IF($F97="SSV",'Fleet Tech - Tech'!J$14,"nil"))))))))))))))),0)</f>
        <v>0</v>
      </c>
      <c r="BD97" s="12">
        <f>IF($H97=3,IF(OR($F97="DDV",$F97="DDG",$F97="DD"),'Fleet Tech - Tech'!K$3,IF($F97="CL",'Fleet Tech - Tech'!K$4,IF($F97="CA",'Fleet Tech - Tech'!K$5,IF($F97="BC",'Fleet Tech - Tech'!K$6,IF($F97="BB",'Fleet Tech - Tech'!K$7,IF($F97="CVL",'Fleet Tech - Tech'!K$8,IF($F97="CV",'Fleet Tech - Tech'!K$9,IF($F97="SS",'Fleet Tech - Tech'!K$10,IF($F97="BBV",'Fleet Tech - Tech'!K$11,IF($F97="CB",'Fleet Tech - Tech'!K$15,IF($F97="AE",'Fleet Tech - Tech'!K$16,IF($F97="IX",'Fleet Tech - Tech'!K$17,IF($F97="BM",'Fleet Tech - Tech'!K$13,IF($F97="AR",'Fleet Tech - Tech'!K$12,IF($F97="SSV",'Fleet Tech - Tech'!K$14,"nil"))))))))))))))),0)</f>
        <v>0</v>
      </c>
      <c r="BE97" s="12">
        <f>IF($H97=3,IF(OR($F97="DDV",$F97="DDG",$F97="DD"),'Fleet Tech - Tech'!L$3,IF($F97="CL",'Fleet Tech - Tech'!L$4,IF($F97="CA",'Fleet Tech - Tech'!L$5,IF($F97="BC",'Fleet Tech - Tech'!L$6,IF($F97="BB",'Fleet Tech - Tech'!L$7,IF($F97="CVL",'Fleet Tech - Tech'!L$8,IF($F97="CV",'Fleet Tech - Tech'!L$9,IF($F97="SS",'Fleet Tech - Tech'!L$10,IF($F97="BBV",'Fleet Tech - Tech'!L$11,IF($F97="CB",'Fleet Tech - Tech'!L$15,IF($F97="AE",'Fleet Tech - Tech'!L$16,IF($F97="IX",'Fleet Tech - Tech'!L$17,IF($F97="BM",'Fleet Tech - Tech'!L$13,IF($F97="AR",'Fleet Tech - Tech'!L$12,IF($F97="SSV",'Fleet Tech - Tech'!L$14,"nil"))))))))))))))),0)</f>
        <v>0</v>
      </c>
      <c r="BF97" s="12">
        <f>IF($H97=3,IF(OR($F97="DDV",$F97="DDG",$F97="DD"),'Fleet Tech - Tech'!M$3,IF($F97="CL",'Fleet Tech - Tech'!M$4,IF($F97="CA",'Fleet Tech - Tech'!M$5,IF($F97="BC",'Fleet Tech - Tech'!M$6,IF($F97="BB",'Fleet Tech - Tech'!M$7,IF($F97="CVL",'Fleet Tech - Tech'!M$8,IF($F97="CV",'Fleet Tech - Tech'!M$9,IF($F97="SS",'Fleet Tech - Tech'!M$10,IF($F97="BBV",'Fleet Tech - Tech'!M$11,IF($F97="CB",'Fleet Tech - Tech'!M$15,IF($F97="AE",'Fleet Tech - Tech'!M$16,IF($F97="IX",'Fleet Tech - Tech'!M$17,IF($F97="BM",'Fleet Tech - Tech'!M$13,IF($F97="AR",'Fleet Tech - Tech'!M$12,IF($F97="SSV",'Fleet Tech - Tech'!M$14,"nil"))))))))))))))),0)</f>
        <v>0</v>
      </c>
      <c r="BG97" s="12">
        <f>IF($H97=3,IF(OR($F97="DDV",$F97="DDG",$F97="DD"),'Fleet Tech - Tech'!N$3,IF($F97="CL",'Fleet Tech - Tech'!N$4,IF($F97="CA",'Fleet Tech - Tech'!N$5,IF($F97="BC",'Fleet Tech - Tech'!N$6,IF($F97="BB",'Fleet Tech - Tech'!N$7,IF($F97="CVL",'Fleet Tech - Tech'!N$8,IF($F97="CV",'Fleet Tech - Tech'!N$9,IF($F97="SS",'Fleet Tech - Tech'!N$10,IF($F97="BBV",'Fleet Tech - Tech'!N$11,IF($F97="CB",'Fleet Tech - Tech'!N$15,IF($F97="AE",'Fleet Tech - Tech'!N$16,IF($F97="IX",'Fleet Tech - Tech'!N$17,IF($F97="BM",'Fleet Tech - Tech'!N$13,IF($F97="AR",'Fleet Tech - Tech'!N$12,IF($F97="SSV",'Fleet Tech - Tech'!N$14,"nil"))))))))))))))),0)</f>
        <v>0</v>
      </c>
      <c r="BH97" s="28"/>
      <c r="BI97" s="12">
        <v>787</v>
      </c>
      <c r="BJ97" s="28"/>
      <c r="BK97" s="12">
        <v>49</v>
      </c>
      <c r="BL97" s="12">
        <v>17</v>
      </c>
      <c r="BM97" s="12">
        <v>30</v>
      </c>
      <c r="BN97" s="28"/>
      <c r="BO97" s="12">
        <v>60</v>
      </c>
      <c r="BP97" s="28"/>
      <c r="BQ97" s="12">
        <v>32</v>
      </c>
      <c r="BR97" s="12">
        <v>3</v>
      </c>
      <c r="BS97" s="12">
        <v>66</v>
      </c>
      <c r="BT97" s="12">
        <v>21</v>
      </c>
      <c r="BU97" s="12">
        <v>29</v>
      </c>
      <c r="BV97" s="12">
        <v>335</v>
      </c>
      <c r="BW97" s="28"/>
      <c r="BX97" s="12">
        <v>1</v>
      </c>
      <c r="BY97" s="12">
        <v>0</v>
      </c>
      <c r="BZ97" s="12">
        <v>1</v>
      </c>
      <c r="CA97" s="12">
        <v>0</v>
      </c>
      <c r="CB97" s="12">
        <v>-1</v>
      </c>
      <c r="CC97" s="12">
        <v>-1</v>
      </c>
      <c r="CD97" s="12">
        <v>-1</v>
      </c>
      <c r="CE97" s="12">
        <v>-1</v>
      </c>
      <c r="CF97" s="12">
        <v>-1</v>
      </c>
      <c r="CG97" s="12">
        <v>-1</v>
      </c>
      <c r="CH97" s="12">
        <v>-1</v>
      </c>
      <c r="CI97" s="12">
        <v>-1</v>
      </c>
      <c r="CJ97" s="47"/>
      <c r="CK97" s="48">
        <f>IF(BX97=5,320,IF(BX97=4,195,IF(BX97=3,132,IF(BX97=2,90,IF(BX97=1,58,IF(BX97=-1,0,35))))))</f>
        <v>58</v>
      </c>
      <c r="CL97" s="48">
        <f>IF(BX97=5,20,IF(BX97=4,15,IF(BX97=3,12,IF(BX97=2,10,IF(BX97=1,8,IF(BX97=-1,0,5))))))</f>
        <v>8</v>
      </c>
      <c r="CM97" s="48">
        <f>IF(BZ97=5,320,IF(BZ97=4,195,IF(BZ97=3,132,IF(BZ97=2,90,IF(BZ97=1,58,IF(BZ97=-1,0,35))))))</f>
        <v>58</v>
      </c>
      <c r="CN97" s="48">
        <f>IF(BZ97=5,20,IF(BZ97=4,15,IF(BZ97=3,12,IF(BZ97=2,10,IF(BZ97=1,8,IF(BZ97=-1,0,5))))))</f>
        <v>8</v>
      </c>
      <c r="CO97" s="48">
        <f>IF(CB97=5,320,IF(CB97=4,195,IF(CB97=3,132,IF(CB97=2,90,IF(CB97=1,58,IF(CB97=-1,0,35))))))</f>
        <v>0</v>
      </c>
      <c r="CP97" s="48">
        <f>IF(CB97=5,20,IF(CB97=4,15,IF(CB97=3,12,IF(CB97=2,10,IF(CB97=1,8,IF(CB97=-1,0,5))))))</f>
        <v>0</v>
      </c>
      <c r="CQ97" s="48">
        <f>IF(CD97=5,320,IF(CD97=4,195,IF(CD97=3,132,IF(CD97=2,90,IF(CD97=1,58,IF(CD97=-1,0,35))))))</f>
        <v>0</v>
      </c>
      <c r="CR97" s="48">
        <f>IF(CD97=5,20,IF(CD97=4,15,IF(CD97=3,12,IF(CD97=2,10,IF(CD97=1,8,IF(CD97=-1,0,5))))))</f>
        <v>0</v>
      </c>
      <c r="CS97" s="48">
        <f>IF(CF97=5,320,IF(CF97=4,195,IF(CF97=3,132,IF(CF97=2,90,IF(CF97=1,58,IF(CF97=-1,0,35))))))</f>
        <v>0</v>
      </c>
      <c r="CT97" s="48">
        <f>IF(CF97=5,20,IF(CF97=4,15,IF(CF97=3,12,IF(CF97=2,10,IF(CF97=1,8,IF(CF97=-1,0,5))))))</f>
        <v>0</v>
      </c>
      <c r="CU97" s="48">
        <f>IF(CH97=5,320,IF(CH97=4,195,IF(CH97=3,132,IF(CH97=2,90,IF(CH97=1,58,IF(CH97=-1,0,35))))))</f>
        <v>0</v>
      </c>
      <c r="CV97" s="48">
        <f>IF(CH97=5,20,IF(CH97=4,15,IF(CH97=3,12,IF(CH97=2,10,IF(CH97=1,8,IF(CH97=-1,0,5))))))</f>
        <v>0</v>
      </c>
      <c r="CW97" s="48">
        <f>IF(BY97&gt;10,(BY97/10)-ROUNDDOWN(BY97/10,0),0)+IF(CA97&gt;10,(CA97/10)-ROUNDDOWN(CA97/10,0),0)+IF(CC97&gt;10,(CC97/10)-ROUNDDOWN(CC97/10,0),0)+IF(CE97&gt;10,(CE97/10)-ROUNDDOWN(CE97/10,0),0)+IF(CG97&gt;10,(CG97/10)-ROUNDDOWN(CG97/10,0),0)+IF(CI97&gt;10,(CI97/10)-ROUNDDOWN(CI97/10,0),0)</f>
        <v>0</v>
      </c>
      <c r="CX97" s="48">
        <f>1+(CW97/10)</f>
        <v>1</v>
      </c>
    </row>
  </sheetData>
  <mergeCells count="1">
    <mergeCell ref="A1:CX1"/>
  </mergeCells>
  <conditionalFormatting sqref="G2:G97">
    <cfRule type="beginsWith" dxfId="89" priority="1" stopIfTrue="1" text="Oath">
      <formula>FIND(UPPER("Oath"),UPPER(G2))=1</formula>
      <formula>"Oath"</formula>
    </cfRule>
    <cfRule type="cellIs" dxfId="90" priority="2" operator="equal" stopIfTrue="1">
      <formula>"Love"</formula>
    </cfRule>
    <cfRule type="cellIs" dxfId="91" priority="3" operator="equal" stopIfTrue="1">
      <formula>"Crush"</formula>
    </cfRule>
    <cfRule type="beginsWith" dxfId="92" priority="4" stopIfTrue="1" text="Friend">
      <formula>FIND(UPPER("Friend"),UPPER(G2))=1</formula>
      <formula>"Friend"</formula>
    </cfRule>
    <cfRule type="cellIs" dxfId="93" priority="5" operator="equal" stopIfTrue="1">
      <formula>"Stranger"</formula>
    </cfRule>
    <cfRule type="cellIs" dxfId="94" priority="6" operator="equal" stopIfTrue="1">
      <formula>"NPC"</formula>
    </cfRule>
  </conditionalFormatting>
  <conditionalFormatting sqref="B3:C97">
    <cfRule type="cellIs" dxfId="95" priority="1" operator="equal" stopIfTrue="1">
      <formula>"Y"</formula>
    </cfRule>
    <cfRule type="cellIs" dxfId="96" priority="2" operator="equal" stopIfTrue="1">
      <formula>"N"</formula>
    </cfRule>
  </conditionalFormatting>
  <conditionalFormatting sqref="D3:D97">
    <cfRule type="cellIs" dxfId="97" priority="1" operator="greaterThan" stopIfTrue="1">
      <formula>6</formula>
    </cfRule>
  </conditionalFormatting>
  <conditionalFormatting sqref="E3:E97">
    <cfRule type="cellIs" dxfId="98" priority="1" operator="equal" stopIfTrue="1">
      <formula>"Main"</formula>
    </cfRule>
    <cfRule type="cellIs" dxfId="99" priority="2" operator="equal" stopIfTrue="1">
      <formula>"Vanguard"</formula>
    </cfRule>
    <cfRule type="cellIs" dxfId="100" priority="3" operator="equal" stopIfTrue="1">
      <formula>"Submarine"</formula>
    </cfRule>
  </conditionalFormatting>
  <conditionalFormatting sqref="F3:F97">
    <cfRule type="beginsWith" dxfId="101" priority="1" stopIfTrue="1" text="CV">
      <formula>FIND(UPPER("CV"),UPPER(F3))=1</formula>
      <formula>"CV"</formula>
    </cfRule>
    <cfRule type="containsText" dxfId="102" priority="2" stopIfTrue="1" text="DD">
      <formula>NOT(ISERROR(FIND(UPPER("DD"),UPPER(F3))))</formula>
      <formula>"DD"</formula>
    </cfRule>
    <cfRule type="cellIs" dxfId="103" priority="3" operator="equal" stopIfTrue="1">
      <formula>"CB"</formula>
    </cfRule>
    <cfRule type="beginsWith" dxfId="104" priority="4" stopIfTrue="1" text="C">
      <formula>FIND(UPPER("C"),UPPER(F3))=1</formula>
      <formula>"C"</formula>
    </cfRule>
    <cfRule type="cellIs" dxfId="105" priority="5" operator="equal" stopIfTrue="1">
      <formula>"BM"</formula>
    </cfRule>
    <cfRule type="beginsWith" dxfId="106" priority="6" stopIfTrue="1" text="B">
      <formula>FIND(UPPER("B"),UPPER(F3))=1</formula>
      <formula>"B"</formula>
    </cfRule>
    <cfRule type="beginsWith" dxfId="107" priority="7" stopIfTrue="1" text="S">
      <formula>FIND(UPPER("S"),UPPER(F3))=1</formula>
      <formula>"S"</formula>
    </cfRule>
    <cfRule type="beginsWith" dxfId="108" priority="8" stopIfTrue="1" text="A">
      <formula>FIND(UPPER("A"),UPPER(F3))=1</formula>
      <formula>"A"</formula>
    </cfRule>
    <cfRule type="containsText" dxfId="109" priority="9" stopIfTrue="1" text="IX">
      <formula>NOT(ISERROR(FIND(UPPER("IX"),UPPER(F3))))</formula>
      <formula>"IX"</formula>
    </cfRule>
  </conditionalFormatting>
  <conditionalFormatting sqref="H3:H97">
    <cfRule type="cellIs" dxfId="110" priority="1" operator="equal" stopIfTrue="1">
      <formula>3</formula>
    </cfRule>
    <cfRule type="cellIs" dxfId="111" priority="2" operator="equal" stopIfTrue="1">
      <formula>2</formula>
    </cfRule>
    <cfRule type="cellIs" dxfId="112" priority="3" operator="equal" stopIfTrue="1">
      <formula>1</formula>
    </cfRule>
    <cfRule type="cellIs" dxfId="113" priority="4" operator="equal" stopIfTrue="1">
      <formula>0</formula>
    </cfRule>
  </conditionalFormatting>
  <conditionalFormatting sqref="I3:I97">
    <cfRule type="cellIs" dxfId="114" priority="1" operator="equal" stopIfTrue="1">
      <formula>"DR"</formula>
    </cfRule>
    <cfRule type="cellIs" dxfId="115" priority="2" operator="equal" stopIfTrue="1">
      <formula>"UR"</formula>
    </cfRule>
    <cfRule type="beginsWith" dxfId="116" priority="3" stopIfTrue="1" text="META">
      <formula>FIND(UPPER("META"),UPPER(I3))=1</formula>
      <formula>"META"</formula>
    </cfRule>
    <cfRule type="cellIs" dxfId="117" priority="4" operator="equal" stopIfTrue="1">
      <formula>"PRY"</formula>
    </cfRule>
    <cfRule type="cellIs" dxfId="118" priority="5" operator="equal" stopIfTrue="1">
      <formula>"SR"</formula>
    </cfRule>
    <cfRule type="cellIs" dxfId="119" priority="6" operator="equal" stopIfTrue="1">
      <formula>"E"</formula>
    </cfRule>
    <cfRule type="cellIs" dxfId="120" priority="7" operator="equal" stopIfTrue="1">
      <formula>"R"</formula>
    </cfRule>
    <cfRule type="cellIs" dxfId="121" priority="8" operator="equal" stopIfTrue="1">
      <formula>"N"</formula>
    </cfRule>
  </conditionalFormatting>
  <conditionalFormatting sqref="J3:J97">
    <cfRule type="cellIs" dxfId="122" priority="1" operator="equal" stopIfTrue="1">
      <formula>125</formula>
    </cfRule>
    <cfRule type="cellIs" dxfId="123" priority="2" operator="greaterThan" stopIfTrue="1">
      <formula>120</formula>
    </cfRule>
    <cfRule type="cellIs" dxfId="124" priority="3" operator="greaterThan" stopIfTrue="1">
      <formula>115</formula>
    </cfRule>
    <cfRule type="cellIs" dxfId="125" priority="4" operator="greaterThan" stopIfTrue="1">
      <formula>110</formula>
    </cfRule>
    <cfRule type="cellIs" dxfId="126" priority="5" operator="greaterThan" stopIfTrue="1">
      <formula>105</formula>
    </cfRule>
    <cfRule type="cellIs" dxfId="127" priority="6" operator="greaterThan" stopIfTrue="1">
      <formula>100</formula>
    </cfRule>
    <cfRule type="cellIs" dxfId="128" priority="7" operator="greaterThan" stopIfTrue="1">
      <formula>90</formula>
    </cfRule>
    <cfRule type="cellIs" dxfId="129" priority="8" operator="greaterThan" stopIfTrue="1">
      <formula>80</formula>
    </cfRule>
    <cfRule type="cellIs" dxfId="130" priority="9" operator="greaterThan" stopIfTrue="1">
      <formula>70</formula>
    </cfRule>
    <cfRule type="cellIs" dxfId="131" priority="10" operator="lessThanOrEqual" stopIfTrue="1">
      <formula>70</formula>
    </cfRule>
  </conditionalFormatting>
  <conditionalFormatting sqref="K3:K97">
    <cfRule type="cellIs" dxfId="132" priority="1" operator="equal" stopIfTrue="1">
      <formula>"Heavy"</formula>
    </cfRule>
    <cfRule type="cellIs" dxfId="133" priority="2" operator="equal" stopIfTrue="1">
      <formula>"Medium"</formula>
    </cfRule>
    <cfRule type="cellIs" dxfId="134" priority="3" operator="equal" stopIfTrue="1">
      <formula>"Light"</formula>
    </cfRule>
  </conditionalFormatting>
  <conditionalFormatting sqref="L3:L97">
    <cfRule type="cellIs" dxfId="135" priority="1" operator="equal" stopIfTrue="1">
      <formula>"Azur Lane"</formula>
    </cfRule>
    <cfRule type="cellIs" dxfId="136" priority="2" operator="equal" stopIfTrue="1">
      <formula>"Crimson Axis"</formula>
    </cfRule>
    <cfRule type="cellIs" dxfId="137" priority="3" operator="equal" stopIfTrue="1">
      <formula>"Siren"</formula>
    </cfRule>
    <cfRule type="cellIs" dxfId="138" priority="4" operator="equal" stopIfTrue="1">
      <formula>"Event"</formula>
    </cfRule>
    <cfRule type="cellIs" dxfId="139" priority="5" operator="equal" stopIfTrue="1">
      <formula>"Tempesta"</formula>
    </cfRule>
  </conditionalFormatting>
  <conditionalFormatting sqref="M3:M97">
    <cfRule type="cellIs" dxfId="140" priority="1" operator="equal" stopIfTrue="1">
      <formula>"Sakura Empire"</formula>
    </cfRule>
    <cfRule type="cellIs" dxfId="141" priority="2" operator="equal" stopIfTrue="1">
      <formula>"Hololive"</formula>
    </cfRule>
    <cfRule type="cellIs" dxfId="142" priority="3" operator="equal" stopIfTrue="1">
      <formula>"Iron Blood"</formula>
    </cfRule>
    <cfRule type="cellIs" dxfId="143" priority="4" operator="equal" stopIfTrue="1">
      <formula>"Eagle Union"</formula>
    </cfRule>
    <cfRule type="cellIs" dxfId="144" priority="5" operator="equal" stopIfTrue="1">
      <formula>"Neptunia"</formula>
    </cfRule>
    <cfRule type="cellIs" dxfId="145" priority="6" operator="equal" stopIfTrue="1">
      <formula>"META"</formula>
    </cfRule>
    <cfRule type="cellIs" dxfId="146" priority="7" operator="equal" stopIfTrue="1">
      <formula>"Tempesta"</formula>
    </cfRule>
    <cfRule type="cellIs" dxfId="147" priority="8" operator="equal" stopIfTrue="1">
      <formula>"Royal Navy"</formula>
    </cfRule>
    <cfRule type="cellIs" dxfId="148" priority="9" operator="equal" stopIfTrue="1">
      <formula>"Sardegna Empire"</formula>
    </cfRule>
    <cfRule type="cellIs" dxfId="149" priority="10" operator="equal" stopIfTrue="1">
      <formula>"Northern Parliament"</formula>
    </cfRule>
    <cfRule type="cellIs" dxfId="150" priority="11" operator="equal" stopIfTrue="1">
      <formula>"Dragon Empery"</formula>
    </cfRule>
    <cfRule type="cellIs" dxfId="151" priority="12" operator="equal" stopIfTrue="1">
      <formula>"Vichya Dominion"</formula>
    </cfRule>
    <cfRule type="cellIs" dxfId="152" priority="13" operator="equal" stopIfTrue="1">
      <formula>"Iris Libre"</formula>
    </cfRule>
  </conditionalFormatting>
  <conditionalFormatting sqref="N3:N97">
    <cfRule type="cellIs" dxfId="153" priority="1" operator="greaterThan" stopIfTrue="1">
      <formula>1900</formula>
    </cfRule>
    <cfRule type="cellIs" dxfId="154" priority="2" operator="greaterThan" stopIfTrue="1">
      <formula>1600</formula>
    </cfRule>
    <cfRule type="cellIs" dxfId="155" priority="3" operator="greaterThan" stopIfTrue="1">
      <formula>1200</formula>
    </cfRule>
    <cfRule type="cellIs" dxfId="156" priority="4" operator="greaterThan" stopIfTrue="1">
      <formula>900</formula>
    </cfRule>
    <cfRule type="cellIs" dxfId="157" priority="5" operator="greaterThan" stopIfTrue="1">
      <formula>600</formula>
    </cfRule>
    <cfRule type="cellIs" dxfId="158" priority="6" operator="greaterThan" stopIfTrue="1">
      <formula>300</formula>
    </cfRule>
  </conditionalFormatting>
  <conditionalFormatting sqref="O3:R97">
    <cfRule type="cellIs" dxfId="159" priority="1" operator="greaterThan" stopIfTrue="1">
      <formula>6000</formula>
    </cfRule>
    <cfRule type="cellIs" dxfId="160" priority="2" operator="greaterThan" stopIfTrue="1">
      <formula>5000</formula>
    </cfRule>
    <cfRule type="cellIs" dxfId="161" priority="3" operator="greaterThan" stopIfTrue="1">
      <formula>4000</formula>
    </cfRule>
    <cfRule type="cellIs" dxfId="162" priority="4" operator="greaterThan" stopIfTrue="1">
      <formula>3000</formula>
    </cfRule>
    <cfRule type="cellIs" dxfId="163" priority="5" operator="greaterThan" stopIfTrue="1">
      <formula>2000</formula>
    </cfRule>
    <cfRule type="cellIs" dxfId="164" priority="6" operator="greaterThan" stopIfTrue="1">
      <formula>1000</formula>
    </cfRule>
  </conditionalFormatting>
  <conditionalFormatting sqref="S3:S97">
    <cfRule type="cellIs" dxfId="165" priority="1" operator="equal" stopIfTrue="1">
      <formula>0</formula>
    </cfRule>
    <cfRule type="cellIs" dxfId="166" priority="2" operator="greaterThan" stopIfTrue="1">
      <formula>8000</formula>
    </cfRule>
    <cfRule type="cellIs" dxfId="167" priority="3" operator="greaterThan" stopIfTrue="1">
      <formula>6000</formula>
    </cfRule>
    <cfRule type="cellIs" dxfId="168" priority="4" operator="greaterThan" stopIfTrue="1">
      <formula>4000</formula>
    </cfRule>
    <cfRule type="cellIs" dxfId="169" priority="5" operator="greaterThan" stopIfTrue="1">
      <formula>2000</formula>
    </cfRule>
    <cfRule type="cellIs" dxfId="170" priority="6" operator="greaterThan" stopIfTrue="1">
      <formula>1000</formula>
    </cfRule>
    <cfRule type="cellIs" dxfId="171" priority="7" operator="lessThanOrEqual" stopIfTrue="1">
      <formula>1000</formula>
    </cfRule>
  </conditionalFormatting>
  <conditionalFormatting sqref="T3:T97 X3:Y97">
    <cfRule type="cellIs" dxfId="172" priority="1" operator="greaterThan" stopIfTrue="1">
      <formula>500</formula>
    </cfRule>
    <cfRule type="cellIs" dxfId="173" priority="2" operator="greaterThan" stopIfTrue="1">
      <formula>400</formula>
    </cfRule>
    <cfRule type="cellIs" dxfId="174" priority="3" operator="greaterThan" stopIfTrue="1">
      <formula>300</formula>
    </cfRule>
    <cfRule type="cellIs" dxfId="175" priority="4" operator="greaterThan" stopIfTrue="1">
      <formula>200</formula>
    </cfRule>
    <cfRule type="cellIs" dxfId="176" priority="5" operator="greaterThan" stopIfTrue="1">
      <formula>100</formula>
    </cfRule>
    <cfRule type="cellIs" dxfId="177" priority="6" operator="greaterThan" stopIfTrue="1">
      <formula>0</formula>
    </cfRule>
    <cfRule type="cellIs" dxfId="178" priority="7" operator="equal" stopIfTrue="1">
      <formula>0</formula>
    </cfRule>
  </conditionalFormatting>
  <conditionalFormatting sqref="U3:U97">
    <cfRule type="cellIs" dxfId="179" priority="1" operator="greaterThan" stopIfTrue="1">
      <formula>500</formula>
    </cfRule>
    <cfRule type="cellIs" dxfId="180" priority="2" operator="greaterThan" stopIfTrue="1">
      <formula>400</formula>
    </cfRule>
    <cfRule type="cellIs" dxfId="181" priority="3" operator="greaterThan" stopIfTrue="1">
      <formula>300</formula>
    </cfRule>
    <cfRule type="cellIs" dxfId="182" priority="4" operator="greaterThan" stopIfTrue="1">
      <formula>200</formula>
    </cfRule>
    <cfRule type="cellIs" dxfId="183" priority="5" operator="greaterThan" stopIfTrue="1">
      <formula>100</formula>
    </cfRule>
    <cfRule type="cellIs" dxfId="184" priority="6" operator="greaterThan" stopIfTrue="1">
      <formula>0</formula>
    </cfRule>
    <cfRule type="cellIs" dxfId="185" priority="7" operator="equal" stopIfTrue="1">
      <formula>0</formula>
    </cfRule>
  </conditionalFormatting>
  <conditionalFormatting sqref="V3:V97 AC3:AE97">
    <cfRule type="cellIs" dxfId="186" priority="1" operator="greaterThan" stopIfTrue="1">
      <formula>250</formula>
    </cfRule>
    <cfRule type="cellIs" dxfId="187" priority="2" operator="greaterThan" stopIfTrue="1">
      <formula>200</formula>
    </cfRule>
    <cfRule type="cellIs" dxfId="188" priority="3" operator="greaterThan" stopIfTrue="1">
      <formula>150</formula>
    </cfRule>
    <cfRule type="cellIs" dxfId="189" priority="4" operator="greaterThan" stopIfTrue="1">
      <formula>100</formula>
    </cfRule>
    <cfRule type="cellIs" dxfId="190" priority="5" operator="greaterThan" stopIfTrue="1">
      <formula>50</formula>
    </cfRule>
    <cfRule type="cellIs" dxfId="191" priority="6" operator="greaterThan" stopIfTrue="1">
      <formula>0</formula>
    </cfRule>
    <cfRule type="cellIs" dxfId="192" priority="7" operator="equal" stopIfTrue="1">
      <formula>0</formula>
    </cfRule>
  </conditionalFormatting>
  <conditionalFormatting sqref="W3:W97">
    <cfRule type="cellIs" dxfId="193" priority="1" operator="greaterThan" stopIfTrue="1">
      <formula>100</formula>
    </cfRule>
    <cfRule type="cellIs" dxfId="194" priority="2" operator="greaterThan" stopIfTrue="1">
      <formula>80</formula>
    </cfRule>
    <cfRule type="cellIs" dxfId="195" priority="3" operator="greaterThan" stopIfTrue="1">
      <formula>60</formula>
    </cfRule>
    <cfRule type="cellIs" dxfId="196" priority="4" operator="greaterThan" stopIfTrue="1">
      <formula>40</formula>
    </cfRule>
    <cfRule type="cellIs" dxfId="197" priority="5" operator="greaterThan" stopIfTrue="1">
      <formula>20</formula>
    </cfRule>
    <cfRule type="cellIs" dxfId="198" priority="6" operator="greaterThan" stopIfTrue="1">
      <formula>0</formula>
    </cfRule>
    <cfRule type="cellIs" dxfId="199" priority="7" operator="equal" stopIfTrue="1">
      <formula>0</formula>
    </cfRule>
  </conditionalFormatting>
  <conditionalFormatting sqref="Z3:Z97">
    <cfRule type="cellIs" dxfId="200" priority="1" operator="greaterThan" stopIfTrue="1">
      <formula>2</formula>
    </cfRule>
    <cfRule type="cellIs" dxfId="201" priority="2" operator="greaterThan" stopIfTrue="1">
      <formula>1</formula>
    </cfRule>
    <cfRule type="cellIs" dxfId="202" priority="3" operator="greaterThan" stopIfTrue="1">
      <formula>0</formula>
    </cfRule>
    <cfRule type="cellIs" dxfId="203" priority="4" operator="equal" stopIfTrue="1">
      <formula>0</formula>
    </cfRule>
  </conditionalFormatting>
  <conditionalFormatting sqref="AA3:AA97">
    <cfRule type="cellIs" dxfId="204" priority="1" operator="greaterThan" stopIfTrue="1">
      <formula>50</formula>
    </cfRule>
    <cfRule type="cellIs" dxfId="205" priority="2" operator="greaterThan" stopIfTrue="1">
      <formula>40</formula>
    </cfRule>
    <cfRule type="cellIs" dxfId="206" priority="3" operator="greaterThan" stopIfTrue="1">
      <formula>30</formula>
    </cfRule>
    <cfRule type="cellIs" dxfId="207" priority="4" operator="greaterThan" stopIfTrue="1">
      <formula>20</formula>
    </cfRule>
    <cfRule type="cellIs" dxfId="208" priority="5" operator="greaterThan" stopIfTrue="1">
      <formula>10</formula>
    </cfRule>
    <cfRule type="cellIs" dxfId="209" priority="6" operator="greaterThan" stopIfTrue="1">
      <formula>0</formula>
    </cfRule>
    <cfRule type="cellIs" dxfId="210" priority="7" operator="equal" stopIfTrue="1">
      <formula>0</formula>
    </cfRule>
  </conditionalFormatting>
  <conditionalFormatting sqref="AB3:AB97">
    <cfRule type="cellIs" dxfId="211" priority="1" operator="greaterThan" stopIfTrue="1">
      <formula>15</formula>
    </cfRule>
    <cfRule type="cellIs" dxfId="212" priority="2" operator="greaterThan" stopIfTrue="1">
      <formula>12</formula>
    </cfRule>
    <cfRule type="cellIs" dxfId="213" priority="3" operator="greaterThan" stopIfTrue="1">
      <formula>9</formula>
    </cfRule>
    <cfRule type="cellIs" dxfId="214" priority="4" operator="greaterThan" stopIfTrue="1">
      <formula>6</formula>
    </cfRule>
    <cfRule type="cellIs" dxfId="215" priority="5" operator="greaterThan" stopIfTrue="1">
      <formula>3</formula>
    </cfRule>
    <cfRule type="cellIs" dxfId="216" priority="6" operator="greaterThan" stopIfTrue="1">
      <formula>0</formula>
    </cfRule>
    <cfRule type="cellIs" dxfId="217" priority="7" operator="equal" stopIfTrue="1">
      <formula>0</formula>
    </cfRule>
  </conditionalFormatting>
  <conditionalFormatting sqref="AG3:AS8 AU3:BG97 BI9:BU9 AG10:AS97">
    <cfRule type="cellIs" dxfId="218" priority="1" operator="equal" stopIfTrue="1">
      <formula>0</formula>
    </cfRule>
    <cfRule type="containsBlanks" dxfId="219" priority="2" stopIfTrue="1">
      <formula>ISBLANK(AG3)</formula>
    </cfRule>
  </conditionalFormatting>
  <conditionalFormatting sqref="BI3:BV8 BV9 BI10:BV97">
    <cfRule type="cellIs" dxfId="220" priority="1" operator="equal" stopIfTrue="1">
      <formula>0</formula>
    </cfRule>
    <cfRule type="containsBlanks" dxfId="221" priority="2" stopIfTrue="1">
      <formula>ISBLANK(BI3)</formula>
    </cfRule>
  </conditionalFormatting>
  <conditionalFormatting sqref="BX3 BZ3 CB3 CD3 CF3 CH3 BX4 BZ4 CB4 CD4 CF4 CH4 BX5 BZ5 CB5 CD5 CF5 CH5 BX6 BZ6 CB6 CD6 CF6 CH6 BX7 BZ7 CB7 CD7 CF7 CH7 BX8 BZ8 CB8 CD8 CF8 CH8 BX9 BZ9 CB9 CD9 CF9 CH9 BX10 BZ10 CB10 CD10 CF10 CH10 BX11 BZ11 CB11 CD11 CF11 CH11 BX12 BZ12 CB12 CD12 CF12 CH12 BX13 BZ13 CB13 CD13 CF13 CH13 BX14 BZ14 CB14 CD14 CF14 CH14 BX15 BZ15 CB15 CD15 CF15 CH15 BX16 BZ16 CB16 CD16 CF16 CH16 BX17 BZ17 CB17 CD17 CF17 CH17 BX18 BZ18 CB18 CD18 CF18 CH18 BX19 BZ19 CB19 CD19 CF19 CH19 BX20 BZ20 CB20 CD20 CF20 CH20 BX21 BZ21 CB21 CD21 CF21 CH21 BX22 BZ22 CB22 CD22 CF22 CH22 BX23 BZ23 CB23 CD23 CF23 CH23 BX24 BZ24 CB24 CD24 CF24 CH24 BX25 BZ25 CB25 CD25 CF25 CH25 BX26 BZ26 CB26 CD26 CF26 CH26 BX27 BZ27 CB27 CD27 CF27 CH27 BX28 BZ28 CB28 CD28 CF28 CH28 BX29 BZ29 CB29 CD29 CF29 CH29 BX30 BZ30 CB30 CD30 CF30 CH30 BX31 BZ31 CB31 CD31 CF31 CH31 BX32 BZ32 CB32 CD32 CF32 CH32 BX33 BZ33 CB33 CD33 CF33 CH33 BX34 BZ34 CB34 CD34 CF34 CH34 BX35 BZ35 CB35 CD35 CF35 CH35 BX36 BZ36 CB36 CD36 CF36 CH36 BX37 BZ37 CB37 CD37 CF37 CH37 BX38 BZ38 CB38 CD38 CF38 CH38 BX39 BZ39 CB39 CD39 CF39 CH39 BX40 BZ40 CB40 CD40 CF40 CH40 BX41 BZ41 CB41 CD41 CF41 CH41 BX42 BZ42 CB42 CD42 CF42 CH42 BX43 BZ43 CB43 CD43 CF43 CH43 BX44 BZ44 CB44 CD44 CF44 CH44 BX45 BZ45 CB45 CD45 CF45 CH45 BX46 BZ46 CB46 CD46 CF46 CH46 BX47 BZ47 CB47 CD47 CF47 CH47 BX48 BZ48 CB48 CD48 CF48 CH48 BX49 BZ49 CB49 CD49 CF49 CH49 BX50 BZ50 CB50 CD50 CF50 CH50 BX51 BZ51 CB51 CD51 CF51 CH51 BX52 BZ52 CB52 CD52 CF52 CH52 BX53 BZ53 CB53 CD53 CF53 CH53 BX54 BZ54 CB54 CD54 CF54 CH54 BX55 BZ55 CB55 CD55 CF55 CH55 BX56 BZ56 CB56 CD56 CF56 CH56 BX57 BZ57 CB57 CD57 CF57 CH57 BX58 BZ58 CB58 CD58 CF58 CH58 BX59 BZ59 CB59 CD59 CF59 CH59 BX60 BZ60 CB60 CD60 CF60 CH60 BX61 BZ61 CB61 CD61 CF61 CH61 BX62 BZ62 CB62 CD62 CF62 CH62 BX63 BZ63 CB63 CD63 CF63 CH63 BX64 BZ64 CB64 CD64 CF64 CH64 BX65 BZ65 CB65 CD65 CF65 CH65 BX66 BZ66 CB66 CD66 CF66 CH66 BX67 BZ67 CB67 CD67 CF67 CH67 BX68 BZ68 CB68 CD68 CF68 CH68 BX69 BZ69 CB69 CD69 CF69 CH69 BX70 BZ70 CB70 CD70 CF70 CH70 BX71 BZ71 CB71 CD71 CF71 CH71 BX72 BZ72 CB72 CD72 CF72 CH72 BX73 BZ73 CB73 CD73 CF73 CH73 BX74 BZ74 CB74 CD74 CF74 CH74 BX75 BZ75 CB75 CD75 CF75 CH75 BX76 BZ76 CB76 CD76 CF76 CH76 BX77 BZ77 CB77 CD77 CF77 CH77 BX78 BZ78 CB78 CD78 CF78 CH78 BX79 BZ79 CB79 CD79 CF79 CH79 BX80 BZ80 CB80 CD80 CF80 CH80 BX81 BZ81 CB81 CD81 CF81 CH81 BX82 BZ82 CB82 CD82 CF82 CH82 BX83 BZ83 CB83 CD83 CF83 CH83 BX84 BZ84 CB84 CD84 CF84 CH84 BX85 BZ85 CB85 CD85 CF85 CH85 BX86 BZ86 CB86 CD86 CF86 CH86 BX87 BZ87 CB87 CD87 CF87 CH87 BX88 BZ88 CB88 CD88 CF88 CH88 BX89 BZ89 CB89 CD89 CF89 CH89 BX90 BZ90 CB90 CD90 CF90 CH90 BX91 BZ91 CB91 CD91 CF91 CH91 BX92 BZ92 CB92 CD92 CF92 CH92 BX93 BZ93 CB93 CD93 CF93 CH93 BX94 BZ94 CB94 CD94 CF94 CH94 BX95 BZ95 CB95 CD95 CF95 CH95 BX96 BZ96 CB96 CD96 CF96 CH96 BX97 BZ97 CB97 CD97 CF97 CH97">
    <cfRule type="cellIs" dxfId="222" priority="1" operator="equal" stopIfTrue="1">
      <formula>5</formula>
    </cfRule>
    <cfRule type="cellIs" dxfId="223" priority="2" operator="equal" stopIfTrue="1">
      <formula>4</formula>
    </cfRule>
    <cfRule type="cellIs" dxfId="224" priority="3" operator="equal" stopIfTrue="1">
      <formula>3</formula>
    </cfRule>
    <cfRule type="cellIs" dxfId="225" priority="4" operator="equal" stopIfTrue="1">
      <formula>2</formula>
    </cfRule>
    <cfRule type="cellIs" dxfId="226" priority="5" operator="lessThanOrEqual" stopIfTrue="1">
      <formula>1</formula>
    </cfRule>
  </conditionalFormatting>
  <conditionalFormatting sqref="BY3 CA3 CC3 CE3 CG3 BY4 CA4 CC4 CE4 CG4 BY5 CA5 CC5 CE5 CG5 BY6 CA6 CC6 CE6 CG6 BY7 CA7 CC7 CE7 CG7 BY8 CA8 CC8 CE8 CG8 BY9 CA9 CC9 CE9 CG9 BY10 CA10 CC10 CE10 CG10 BY11 CA11 CC11 CE11 CG11 BY12 CA12 CC12 CE12 CG12 BY13 CA13 CC13 CE13 CG13 BY14 CA14 CC14 CE14 CG14 BY15 CA15 CC15 CE15 CG15 BY16 CA16 CC16 CE16 CG16 BY17 CA17 CC17 CE17 CG17 BY18 CA18 CC18 CE18 CG18 BY19 CA19 CC19 CE19 CG19 BY20 CA20 CC20 CE20 CG20 BY21 CA21 CC21 CE21 CG21 BY22 CA22 CC22 CE22 CG22 BY23 CA23 CC23 CE23 CG23 BY24 CA24 CC24 CE24 CG24 BY25 CA25 CC25 CE25 CG25 BY26 CA26 CC26 CE26 CG26 BY27 CA27 CC27 CE27 CG27 BY28 CA28 CC28 CE28 CG28 BY29 CA29 CC29 CE29 CG29 BY30 CA30 CC30 CE30 CG30 BY31 CA31 CC31 CE31 CG31 BY32 CA32 CC32 CE32 CG32 BY33 CA33 CC33 CE33 CG33 BY34 CA34 CC34 CE34 CG34 BY35 CA35 CC35 CE35 CG35 BY36 CA36 CC36 CE36 CG36 BY37 CA37 CC37 CE37 CG37 BY38 CA38 CC38 CE38 CG38 BY39 CA39 CC39 CE39 CG39 BY40 CA40 CC40 CE40 CG40 BY41 CA41 CC41 CE41 CG41 BY42 CA42 CC42 CE42 CG42 BY43 CA43 CC43 CE43 CG43 BY44 CA44 CC44 CE44 CG44 BY45 CA45 CC45 CE45 CG45 BY46 CA46 CC46 CE46 CG46 BY47 CA47 CC47 CE47 CG47 BY48 CA48 CC48 CE48 CG48 BY49 CA49 CC49 CE49 CG49 BY50 CA50 CC50 CE50 CG50 BY51 CA51 CC51 CE51 CG51 BY52 CA52 CC52 CE52 CG52 BY53 CA53 CC53 CE53 CG53 BY54 CA54 CC54 CE54 CG54 BY55 CA55 CC55 CE55 CG55 BY56 CA56 CC56 CE56 CG56 BY57 CA57 CC57 CE57 CG57 BY58 CA58 CC58 CE58 CG58 BY59 CA59 CC59 CE59 CG59 BY60 CA60 CC60 CE60 CG60 BY61 CA61 CC61 CE61 CG61 BY62 CA62 CC62 CE62 CG62 BY63 CA63 CC63 CE63 CG63 BY64 CA64 CC64 CE64 CG64 BY65 CA65 CC65 CE65 CG65 BY66 CA66 CC66 CE66 CG66 BY67 CA67 CC67 CE67 CG67 BY68 CA68 CC68 CE68 CG68 BY69 CA69 CC69 CE69 CG69 BY70 CA70 CC70 CE70 CG70 BY71 CA71 CC71 CE71 CG71 BY72 CA72 CC72 CE72 CG72 BY73 CA73 CC73 CE73 CG73 BY74 CA74 CC74 CE74 CG74 BY75 CA75 CC75 CE75 CG75 BY76 CA76 CC76 CE76 CG76 BY77 CA77 CC77 CE77 CG77 BY78 CA78 CC78 CE78 CG78 BY79 CA79 CC79 CE79 CG79 BY80 CA80 CC80 CE80 CG80 BY81 CA81 CC81 CE81 CG81 BY82 CA82 CC82 CE82 CG82 BY83 CA83 CC83 CE83 CG83 BY84 CA84 CC84 CE84 CG84 BY85 CA85 CC85 CE85 CG85 BY86 CA86 CC86 CE86 CG86 BY87 CA87 CC87 CE87 CG87 BY88 CA88 CC88 CE88 CG88 BY89 CA89 CC89 CE89 CG89 BY90 CA90 CC90 CE90 CG90 BY91 CA91 CC91 CE91 CG91 BY92 CA92 CC92 CE92 CG92 BY93 CA93 CC93 CE93 CG93 BY94 CA94 CC94 CE94 CG94 BY95 CA95 CC95 CE95 CG95 BY96 CA96 CC96 CE96 CG96 BY97 CA97 CC97 CE97 CG97">
    <cfRule type="cellIs" dxfId="227" priority="1" operator="lessThan" stopIfTrue="1">
      <formula>4</formula>
    </cfRule>
    <cfRule type="cellIs" dxfId="228" priority="2" operator="lessThan" stopIfTrue="1">
      <formula>6</formula>
    </cfRule>
    <cfRule type="cellIs" dxfId="229" priority="3" operator="lessThan" stopIfTrue="1">
      <formula>10</formula>
    </cfRule>
    <cfRule type="cellIs" dxfId="230" priority="4" operator="greaterThanOrEqual" stopIfTrue="1">
      <formula>10</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sheetPr>
    <pageSetUpPr fitToPage="1"/>
  </sheetPr>
  <dimension ref="A2:G6"/>
  <sheetViews>
    <sheetView workbookViewId="0" showGridLines="0" defaultGridColor="1"/>
  </sheetViews>
  <sheetFormatPr defaultColWidth="16.3333" defaultRowHeight="19.9" customHeight="1" outlineLevelRow="0" outlineLevelCol="0"/>
  <cols>
    <col min="1" max="7" width="16.3516" style="51" customWidth="1"/>
    <col min="8" max="16384" width="16.3516" style="51" customWidth="1"/>
  </cols>
  <sheetData>
    <row r="1" ht="27.65" customHeight="1">
      <c r="A1" t="s" s="2">
        <v>377</v>
      </c>
      <c r="B1" s="2"/>
      <c r="C1" s="2"/>
      <c r="D1" s="2"/>
      <c r="E1" s="2"/>
      <c r="F1" s="2"/>
      <c r="G1" s="2"/>
    </row>
    <row r="2" ht="20.05" customHeight="1">
      <c r="A2" s="12">
        <v>1</v>
      </c>
      <c r="B2" s="28"/>
      <c r="C2" s="28"/>
      <c r="D2" s="12">
        <v>2</v>
      </c>
      <c r="E2" s="28"/>
      <c r="F2" s="28"/>
      <c r="G2" s="52"/>
    </row>
    <row r="3" ht="20.05" customHeight="1">
      <c r="A3" s="12">
        <v>1</v>
      </c>
      <c r="B3" s="12">
        <v>1</v>
      </c>
      <c r="C3" s="12">
        <v>1</v>
      </c>
      <c r="D3" s="12">
        <v>2</v>
      </c>
      <c r="E3" s="12">
        <v>2</v>
      </c>
      <c r="F3" s="12">
        <v>1</v>
      </c>
      <c r="G3" s="52"/>
    </row>
    <row r="4" ht="20.05" customHeight="1">
      <c r="A4" s="28"/>
      <c r="B4" s="12">
        <v>1</v>
      </c>
      <c r="C4" s="12">
        <v>1</v>
      </c>
      <c r="D4" s="28"/>
      <c r="E4" s="12">
        <v>2</v>
      </c>
      <c r="F4" s="28"/>
      <c r="G4" s="52"/>
    </row>
    <row r="5" ht="22" customHeight="1">
      <c r="A5" s="53"/>
      <c r="B5" s="53"/>
      <c r="C5" s="53"/>
      <c r="D5" s="53"/>
      <c r="E5" s="53"/>
      <c r="F5" s="53"/>
      <c r="G5" t="s" s="54">
        <v>378</v>
      </c>
    </row>
    <row r="6" ht="20.05" customHeight="1">
      <c r="A6" s="55">
        <f>SUM(A2:A4)*10</f>
        <v>20</v>
      </c>
      <c r="B6" s="55">
        <f>SUM(B2:B4)*15</f>
        <v>30</v>
      </c>
      <c r="C6" s="55">
        <f>SUM(C2:C4)*20</f>
        <v>40</v>
      </c>
      <c r="D6" s="55">
        <f>SUM(D2:D4)*25</f>
        <v>100</v>
      </c>
      <c r="E6" s="55">
        <f>SUM(E2:E4)*30</f>
        <v>120</v>
      </c>
      <c r="F6" s="56">
        <f>SUM(F2:F4)*35</f>
        <v>35</v>
      </c>
      <c r="G6" s="12">
        <f>SUM(A6:F6)</f>
        <v>345</v>
      </c>
    </row>
  </sheetData>
  <mergeCells count="1">
    <mergeCell ref="A1:G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13.xml><?xml version="1.0" encoding="utf-8"?>
<worksheet xmlns:r="http://schemas.openxmlformats.org/officeDocument/2006/relationships" xmlns="http://schemas.openxmlformats.org/spreadsheetml/2006/main">
  <sheetPr>
    <pageSetUpPr fitToPage="1"/>
  </sheetPr>
  <dimension ref="A2:N17"/>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5.26562" style="57" customWidth="1"/>
    <col min="2" max="2" width="4.4375" style="57" customWidth="1"/>
    <col min="3" max="3" width="3.57812" style="57" customWidth="1"/>
    <col min="4" max="4" width="3.90625" style="57" customWidth="1"/>
    <col min="5" max="5" width="5.40625" style="57" customWidth="1"/>
    <col min="6" max="7" width="4.90625" style="57" customWidth="1"/>
    <col min="8" max="8" width="4.07812" style="57" customWidth="1"/>
    <col min="9" max="9" width="5.57812" style="57" customWidth="1"/>
    <col min="10" max="10" width="4.90625" style="57" customWidth="1"/>
    <col min="11" max="11" width="5.22656" style="57" customWidth="1"/>
    <col min="12" max="12" width="4.90625" style="57" customWidth="1"/>
    <col min="13" max="13" width="4.72656" style="57" customWidth="1"/>
    <col min="14" max="14" width="5.22656" style="57" customWidth="1"/>
    <col min="15" max="16384" width="16.3516" style="57" customWidth="1"/>
  </cols>
  <sheetData>
    <row r="1" ht="27.65" customHeight="1">
      <c r="A1" t="s" s="2">
        <v>199</v>
      </c>
      <c r="B1" s="2"/>
      <c r="C1" s="2"/>
      <c r="D1" s="2"/>
      <c r="E1" s="2"/>
      <c r="F1" s="2"/>
      <c r="G1" s="2"/>
      <c r="H1" s="2"/>
      <c r="I1" s="2"/>
      <c r="J1" s="2"/>
      <c r="K1" s="2"/>
      <c r="L1" s="2"/>
      <c r="M1" s="2"/>
      <c r="N1" s="2"/>
    </row>
    <row r="2" ht="20.25" customHeight="1">
      <c r="A2" t="s" s="3">
        <v>183</v>
      </c>
      <c r="B2" t="s" s="3">
        <v>110</v>
      </c>
      <c r="C2" t="s" s="3">
        <v>108</v>
      </c>
      <c r="D2" t="s" s="3">
        <v>112</v>
      </c>
      <c r="E2" t="s" s="3">
        <v>53</v>
      </c>
      <c r="F2" t="s" s="3">
        <v>195</v>
      </c>
      <c r="G2" t="s" s="3">
        <v>106</v>
      </c>
      <c r="H2" t="s" s="3">
        <v>105</v>
      </c>
      <c r="I2" t="s" s="3">
        <v>196</v>
      </c>
      <c r="J2" t="s" s="3">
        <v>113</v>
      </c>
      <c r="K2" t="s" s="3">
        <v>197</v>
      </c>
      <c r="L2" t="s" s="3">
        <v>107</v>
      </c>
      <c r="M2" t="s" s="3">
        <v>109</v>
      </c>
      <c r="N2" t="s" s="3">
        <v>111</v>
      </c>
    </row>
    <row r="3" ht="20.25" customHeight="1">
      <c r="A3" t="s" s="4">
        <v>284</v>
      </c>
      <c r="B3" s="5">
        <v>128</v>
      </c>
      <c r="C3" s="6">
        <v>11</v>
      </c>
      <c r="D3" s="6">
        <v>3</v>
      </c>
      <c r="E3" s="6">
        <v>2</v>
      </c>
      <c r="F3" s="27"/>
      <c r="G3" s="6">
        <v>1</v>
      </c>
      <c r="H3" s="27"/>
      <c r="I3" s="27"/>
      <c r="J3" s="27"/>
      <c r="K3" s="27"/>
      <c r="L3" s="6">
        <v>1</v>
      </c>
      <c r="M3" s="6">
        <v>5</v>
      </c>
      <c r="N3" s="27"/>
    </row>
    <row r="4" ht="20.05" customHeight="1">
      <c r="A4" t="s" s="10">
        <v>233</v>
      </c>
      <c r="B4" s="11">
        <v>43</v>
      </c>
      <c r="C4" s="12">
        <v>2</v>
      </c>
      <c r="D4" s="12">
        <v>11</v>
      </c>
      <c r="E4" s="12">
        <v>3</v>
      </c>
      <c r="F4" s="28"/>
      <c r="G4" s="12">
        <v>5</v>
      </c>
      <c r="H4" s="28"/>
      <c r="I4" s="28"/>
      <c r="J4" s="28"/>
      <c r="K4" s="28"/>
      <c r="L4" s="12">
        <v>5</v>
      </c>
      <c r="M4" s="28"/>
      <c r="N4" s="12">
        <v>6</v>
      </c>
    </row>
    <row r="5" ht="20.05" customHeight="1">
      <c r="A5" t="s" s="10">
        <v>275</v>
      </c>
      <c r="B5" s="11">
        <v>57</v>
      </c>
      <c r="C5" s="12">
        <v>3</v>
      </c>
      <c r="D5" s="28"/>
      <c r="E5" s="28"/>
      <c r="F5" s="28"/>
      <c r="G5" s="12">
        <v>6</v>
      </c>
      <c r="H5" s="28"/>
      <c r="I5" s="28"/>
      <c r="J5" s="28"/>
      <c r="K5" s="28"/>
      <c r="L5" s="12">
        <v>1</v>
      </c>
      <c r="M5" s="28"/>
      <c r="N5" s="28"/>
    </row>
    <row r="6" ht="20.05" customHeight="1">
      <c r="A6" t="s" s="10">
        <v>272</v>
      </c>
      <c r="B6" s="11">
        <v>82</v>
      </c>
      <c r="C6" s="12">
        <v>2</v>
      </c>
      <c r="D6" s="12">
        <v>4</v>
      </c>
      <c r="E6" s="28"/>
      <c r="F6" s="28"/>
      <c r="G6" s="28"/>
      <c r="H6" s="28"/>
      <c r="I6" s="28"/>
      <c r="J6" s="28"/>
      <c r="K6" s="28"/>
      <c r="L6" s="28"/>
      <c r="M6" s="28"/>
      <c r="N6" s="12">
        <v>2</v>
      </c>
    </row>
    <row r="7" ht="20.05" customHeight="1">
      <c r="A7" t="s" s="10">
        <v>280</v>
      </c>
      <c r="B7" s="11">
        <v>82</v>
      </c>
      <c r="C7" s="12">
        <v>2</v>
      </c>
      <c r="D7" s="12">
        <v>4</v>
      </c>
      <c r="E7" s="28"/>
      <c r="F7" s="28"/>
      <c r="G7" s="28"/>
      <c r="H7" s="28"/>
      <c r="I7" s="28"/>
      <c r="J7" s="28"/>
      <c r="K7" s="28"/>
      <c r="L7" s="28"/>
      <c r="M7" s="28"/>
      <c r="N7" s="12">
        <v>2</v>
      </c>
    </row>
    <row r="8" ht="20.05" customHeight="1">
      <c r="A8" t="s" s="10">
        <v>297</v>
      </c>
      <c r="B8" s="11">
        <v>49</v>
      </c>
      <c r="C8" s="28"/>
      <c r="D8" s="28"/>
      <c r="E8" s="12">
        <v>18</v>
      </c>
      <c r="F8" s="28"/>
      <c r="G8" s="28"/>
      <c r="H8" s="12">
        <v>12</v>
      </c>
      <c r="I8" s="28"/>
      <c r="J8" s="28"/>
      <c r="K8" s="28"/>
      <c r="L8" s="12">
        <v>4</v>
      </c>
      <c r="M8" s="28"/>
      <c r="N8" s="12">
        <v>2</v>
      </c>
    </row>
    <row r="9" ht="20.05" customHeight="1">
      <c r="A9" t="s" s="10">
        <v>241</v>
      </c>
      <c r="B9" s="11">
        <v>45</v>
      </c>
      <c r="C9" s="28"/>
      <c r="D9" s="28"/>
      <c r="E9" s="28"/>
      <c r="F9" s="28"/>
      <c r="G9" s="28"/>
      <c r="H9" s="12">
        <v>10</v>
      </c>
      <c r="I9" s="28"/>
      <c r="J9" s="28"/>
      <c r="K9" s="28"/>
      <c r="L9" s="12">
        <v>4</v>
      </c>
      <c r="M9" s="28"/>
      <c r="N9" s="12">
        <v>2</v>
      </c>
    </row>
    <row r="10" ht="20.05" customHeight="1">
      <c r="A10" t="s" s="10">
        <v>268</v>
      </c>
      <c r="B10" s="11">
        <v>35</v>
      </c>
      <c r="C10" s="12">
        <v>2</v>
      </c>
      <c r="D10" s="28"/>
      <c r="E10" s="28"/>
      <c r="F10" s="28"/>
      <c r="G10" s="12">
        <v>9</v>
      </c>
      <c r="H10" s="28"/>
      <c r="I10" s="28"/>
      <c r="J10" s="28"/>
      <c r="K10" s="28"/>
      <c r="L10" s="28"/>
      <c r="M10" s="12">
        <v>17</v>
      </c>
      <c r="N10" s="12">
        <v>10</v>
      </c>
    </row>
    <row r="11" ht="20.05" customHeight="1">
      <c r="A11" t="s" s="10">
        <v>379</v>
      </c>
      <c r="B11" s="11">
        <v>82</v>
      </c>
      <c r="C11" s="12">
        <v>2</v>
      </c>
      <c r="D11" s="12">
        <v>3</v>
      </c>
      <c r="E11" s="28"/>
      <c r="F11" s="28"/>
      <c r="G11" s="28"/>
      <c r="H11" s="12">
        <v>3</v>
      </c>
      <c r="I11" s="28"/>
      <c r="J11" s="28"/>
      <c r="K11" s="28"/>
      <c r="L11" s="28"/>
      <c r="M11" s="28"/>
      <c r="N11" s="12">
        <v>1</v>
      </c>
    </row>
    <row r="12" ht="20.05" customHeight="1">
      <c r="A12" t="s" s="10">
        <v>380</v>
      </c>
      <c r="B12" s="11">
        <v>16</v>
      </c>
      <c r="C12" s="28"/>
      <c r="D12" s="12">
        <v>5</v>
      </c>
      <c r="E12" s="28"/>
      <c r="F12" s="28"/>
      <c r="G12" s="28"/>
      <c r="H12" s="28"/>
      <c r="I12" s="28"/>
      <c r="J12" s="28"/>
      <c r="K12" s="28"/>
      <c r="L12" s="28"/>
      <c r="M12" s="28"/>
      <c r="N12" s="28"/>
    </row>
    <row r="13" ht="20.05" customHeight="1">
      <c r="A13" t="s" s="10">
        <v>313</v>
      </c>
      <c r="B13" s="11">
        <v>52</v>
      </c>
      <c r="C13" s="12">
        <v>4</v>
      </c>
      <c r="D13" s="28"/>
      <c r="E13" s="28"/>
      <c r="F13" s="28"/>
      <c r="G13" s="12">
        <v>3</v>
      </c>
      <c r="H13" s="28"/>
      <c r="I13" s="28"/>
      <c r="J13" s="28"/>
      <c r="K13" s="28"/>
      <c r="L13" s="12">
        <v>1</v>
      </c>
      <c r="M13" s="28"/>
      <c r="N13" s="28"/>
    </row>
    <row r="14" ht="20.05" customHeight="1">
      <c r="A14" t="s" s="10">
        <v>381</v>
      </c>
      <c r="B14" s="11">
        <v>20</v>
      </c>
      <c r="C14" s="12">
        <v>2</v>
      </c>
      <c r="D14" s="28"/>
      <c r="E14" s="28"/>
      <c r="F14" s="28"/>
      <c r="G14" s="12">
        <v>6</v>
      </c>
      <c r="H14" s="12">
        <v>3</v>
      </c>
      <c r="I14" s="28"/>
      <c r="J14" s="28"/>
      <c r="K14" s="28"/>
      <c r="L14" s="28"/>
      <c r="M14" s="12">
        <v>17</v>
      </c>
      <c r="N14" s="12">
        <v>10</v>
      </c>
    </row>
    <row r="15" ht="20.05" customHeight="1">
      <c r="A15" t="s" s="10">
        <v>57</v>
      </c>
      <c r="B15" s="11">
        <v>52</v>
      </c>
      <c r="C15" s="12">
        <v>5</v>
      </c>
      <c r="D15" s="28"/>
      <c r="E15" s="28"/>
      <c r="F15" s="28"/>
      <c r="G15" s="12">
        <v>3</v>
      </c>
      <c r="H15" s="28"/>
      <c r="I15" s="28"/>
      <c r="J15" s="28"/>
      <c r="K15" s="28"/>
      <c r="L15" s="12">
        <v>2</v>
      </c>
      <c r="M15" s="28"/>
      <c r="N15" s="28"/>
    </row>
    <row r="16" ht="20.05" customHeight="1">
      <c r="A16" t="s" s="10">
        <v>382</v>
      </c>
      <c r="B16" s="11">
        <v>17</v>
      </c>
      <c r="C16" s="28"/>
      <c r="D16" s="12">
        <v>5</v>
      </c>
      <c r="E16" s="28"/>
      <c r="F16" s="28"/>
      <c r="G16" s="28"/>
      <c r="H16" s="28"/>
      <c r="I16" s="28"/>
      <c r="J16" s="28"/>
      <c r="K16" s="28"/>
      <c r="L16" s="28"/>
      <c r="M16" s="28"/>
      <c r="N16" s="28"/>
    </row>
    <row r="17" ht="20.05" customHeight="1">
      <c r="A17" t="s" s="10">
        <v>259</v>
      </c>
      <c r="B17" s="11">
        <v>1</v>
      </c>
      <c r="C17" s="28"/>
      <c r="D17" s="28"/>
      <c r="E17" s="28"/>
      <c r="F17" s="28"/>
      <c r="G17" s="28"/>
      <c r="H17" s="28"/>
      <c r="I17" s="28"/>
      <c r="J17" s="28"/>
      <c r="K17" s="28"/>
      <c r="L17" s="28"/>
      <c r="M17" s="28"/>
      <c r="N17" s="28"/>
    </row>
  </sheetData>
  <mergeCells count="1">
    <mergeCell ref="A1:N1"/>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2:Q30"/>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22.9141" style="16" customWidth="1"/>
    <col min="2" max="2" width="10.2656" style="16" customWidth="1"/>
    <col min="3" max="3" width="6.40625" style="16" customWidth="1"/>
    <col min="4" max="4" width="15.0781" style="16" customWidth="1"/>
    <col min="5" max="5" width="9.40625" style="16" customWidth="1"/>
    <col min="6" max="6" width="4.90625" style="16" customWidth="1"/>
    <col min="7" max="7" width="5.07812" style="16" customWidth="1"/>
    <col min="8" max="8" width="4.72656" style="16" customWidth="1"/>
    <col min="9" max="11" width="9.07812" style="16" customWidth="1"/>
    <col min="12" max="14" width="13.2266" style="16" customWidth="1"/>
    <col min="15" max="15" width="12.4062" style="16" customWidth="1"/>
    <col min="16" max="16" width="8.90625" style="16" customWidth="1"/>
    <col min="17" max="17" width="18.6328" style="16" customWidth="1"/>
    <col min="18" max="16384" width="16.3516" style="16" customWidth="1"/>
  </cols>
  <sheetData>
    <row r="1" ht="27.65" customHeight="1">
      <c r="A1" t="s" s="2">
        <v>29</v>
      </c>
      <c r="B1" s="2"/>
      <c r="C1" s="2"/>
      <c r="D1" s="2"/>
      <c r="E1" s="2"/>
      <c r="F1" s="2"/>
      <c r="G1" s="2"/>
      <c r="H1" s="2"/>
      <c r="I1" s="2"/>
      <c r="J1" s="2"/>
      <c r="K1" s="2"/>
      <c r="L1" s="2"/>
      <c r="M1" s="2"/>
      <c r="N1" s="2"/>
      <c r="O1" s="2"/>
      <c r="P1" s="2"/>
      <c r="Q1" s="2"/>
    </row>
    <row r="2" ht="20.25" customHeight="1">
      <c r="A2" t="s" s="3">
        <v>30</v>
      </c>
      <c r="B2" t="s" s="3">
        <v>31</v>
      </c>
      <c r="C2" t="s" s="3">
        <v>3</v>
      </c>
      <c r="D2" t="s" s="3">
        <v>4</v>
      </c>
      <c r="E2" t="s" s="3">
        <v>5</v>
      </c>
      <c r="F2" t="s" s="3">
        <v>6</v>
      </c>
      <c r="G2" t="s" s="3">
        <v>7</v>
      </c>
      <c r="H2" t="s" s="3">
        <v>8</v>
      </c>
      <c r="I2" t="s" s="3">
        <v>9</v>
      </c>
      <c r="J2" t="s" s="3">
        <v>10</v>
      </c>
      <c r="K2" t="s" s="3">
        <v>11</v>
      </c>
      <c r="L2" t="s" s="3">
        <v>12</v>
      </c>
      <c r="M2" t="s" s="3">
        <v>13</v>
      </c>
      <c r="N2" t="s" s="3">
        <v>14</v>
      </c>
      <c r="O2" t="s" s="3">
        <v>15</v>
      </c>
      <c r="P2" t="s" s="3">
        <v>16</v>
      </c>
      <c r="Q2" t="s" s="3">
        <v>17</v>
      </c>
    </row>
    <row r="3" ht="20.25" customHeight="1">
      <c r="A3" t="s" s="4">
        <v>32</v>
      </c>
      <c r="B3" s="5">
        <f>372*3</f>
        <v>1116</v>
      </c>
      <c r="C3" s="6">
        <f>ROUNDDOWN((B3*ROUNDDOWN(90/E3,0))*H3,0)</f>
        <v>8928</v>
      </c>
      <c r="D3" s="6">
        <f>ROUNDDOWN(((I3*ROUNDDOWN(5/L3,0))+(J3*ROUNDDOWN(5/M3,0))+(K3*ROUNDDOWN(5/N3,0)))*H3,0)</f>
        <v>1044</v>
      </c>
      <c r="E3" s="6">
        <v>10.9</v>
      </c>
      <c r="F3" s="7">
        <v>5</v>
      </c>
      <c r="G3" s="6">
        <v>7</v>
      </c>
      <c r="H3" s="6">
        <v>1</v>
      </c>
      <c r="I3" s="6">
        <f t="shared" si="3" ref="I3:I11">37*2</f>
        <v>74</v>
      </c>
      <c r="J3" s="6">
        <f>60*2</f>
        <v>120</v>
      </c>
      <c r="K3" s="6">
        <v>0</v>
      </c>
      <c r="L3" s="6">
        <v>0.83</v>
      </c>
      <c r="M3" s="6">
        <v>0.89</v>
      </c>
      <c r="N3" s="6">
        <v>1</v>
      </c>
      <c r="O3" t="s" s="8">
        <v>19</v>
      </c>
      <c r="P3" s="6">
        <v>65</v>
      </c>
      <c r="Q3" t="s" s="9">
        <v>33</v>
      </c>
    </row>
    <row r="4" ht="20.05" customHeight="1">
      <c r="A4" t="s" s="10">
        <v>34</v>
      </c>
      <c r="B4" s="11">
        <f>429*2</f>
        <v>858</v>
      </c>
      <c r="C4" s="12">
        <f>ROUNDDOWN((B4*ROUNDDOWN(90/E4,0))*H4,0)</f>
        <v>6864</v>
      </c>
      <c r="D4" s="12">
        <f>ROUNDDOWN(((I4*ROUNDDOWN(5/L4,0))+(J4*ROUNDDOWN(5/M4,0))+(K4*ROUNDDOWN(5/N4,0)))*H4,0)</f>
        <v>640</v>
      </c>
      <c r="E4" s="12">
        <v>11.11</v>
      </c>
      <c r="F4" s="13">
        <v>4</v>
      </c>
      <c r="G4" s="12">
        <v>10</v>
      </c>
      <c r="H4" s="12">
        <v>1</v>
      </c>
      <c r="I4" s="12">
        <f>40*2</f>
        <v>80</v>
      </c>
      <c r="J4" s="12">
        <v>0</v>
      </c>
      <c r="K4" s="12">
        <v>0</v>
      </c>
      <c r="L4" s="12">
        <v>0.61</v>
      </c>
      <c r="M4" s="12">
        <v>1</v>
      </c>
      <c r="N4" s="12">
        <v>1</v>
      </c>
      <c r="O4" t="s" s="14">
        <v>27</v>
      </c>
      <c r="P4" s="12">
        <v>45</v>
      </c>
      <c r="Q4" t="s" s="15">
        <v>20</v>
      </c>
    </row>
    <row r="5" ht="20.05" customHeight="1">
      <c r="A5" t="s" s="10">
        <v>34</v>
      </c>
      <c r="B5" s="11">
        <f>351*2</f>
        <v>702</v>
      </c>
      <c r="C5" s="12">
        <f>ROUNDDOWN((B5*ROUNDDOWN(90/E5,0))*H5,0)</f>
        <v>4914</v>
      </c>
      <c r="D5" s="12">
        <f>ROUNDDOWN(((I5*ROUNDDOWN(5/L5,0))+(J5*ROUNDDOWN(5/M5,0))+(K5*ROUNDDOWN(5/N5,0)))*H5,0)</f>
        <v>462</v>
      </c>
      <c r="E5" s="12">
        <v>12.46</v>
      </c>
      <c r="F5" s="13">
        <v>4</v>
      </c>
      <c r="G5" s="12">
        <v>7</v>
      </c>
      <c r="H5" s="12">
        <v>1</v>
      </c>
      <c r="I5" s="12">
        <f>33*2</f>
        <v>66</v>
      </c>
      <c r="J5" s="12">
        <v>0</v>
      </c>
      <c r="K5" s="12">
        <v>0</v>
      </c>
      <c r="L5" s="12">
        <v>0.6899999999999999</v>
      </c>
      <c r="M5" s="12">
        <v>1</v>
      </c>
      <c r="N5" s="12">
        <v>1</v>
      </c>
      <c r="O5" t="s" s="14">
        <v>27</v>
      </c>
      <c r="P5" s="12">
        <v>45</v>
      </c>
      <c r="Q5" t="s" s="15">
        <v>20</v>
      </c>
    </row>
    <row r="6" ht="20.05" customHeight="1">
      <c r="A6" t="s" s="10">
        <v>34</v>
      </c>
      <c r="B6" s="11">
        <f>2*171</f>
        <v>342</v>
      </c>
      <c r="C6" s="12">
        <f>ROUNDDOWN((B6*ROUNDDOWN(90/E6,0))*H6,0)</f>
        <v>2052</v>
      </c>
      <c r="D6" s="12">
        <f>ROUNDDOWN(((I6*ROUNDDOWN(5/L6,0))+(J6*ROUNDDOWN(5/M6,0))+(K6*ROUNDDOWN(5/N6,0)))*H6,0)</f>
        <v>180</v>
      </c>
      <c r="E6" s="12">
        <v>14.23</v>
      </c>
      <c r="F6" s="13">
        <v>4</v>
      </c>
      <c r="G6" s="12">
        <v>0</v>
      </c>
      <c r="H6" s="12">
        <v>1</v>
      </c>
      <c r="I6" s="12">
        <f t="shared" si="16" ref="I6:I19">15*2</f>
        <v>30</v>
      </c>
      <c r="J6" s="12">
        <v>0</v>
      </c>
      <c r="K6" s="12">
        <v>0</v>
      </c>
      <c r="L6" s="12">
        <v>0.8</v>
      </c>
      <c r="M6" s="12">
        <v>1</v>
      </c>
      <c r="N6" s="12">
        <v>1</v>
      </c>
      <c r="O6" t="s" s="14">
        <v>27</v>
      </c>
      <c r="P6" s="12">
        <v>45</v>
      </c>
      <c r="Q6" t="s" s="15">
        <v>20</v>
      </c>
    </row>
    <row r="7" ht="20.05" customHeight="1">
      <c r="A7" t="s" s="10">
        <v>35</v>
      </c>
      <c r="B7" s="11">
        <f>(190*2)+(442*1)</f>
        <v>822</v>
      </c>
      <c r="C7" s="12">
        <f>ROUNDDOWN((B7*ROUNDDOWN(90/E7,0))*H7,0)</f>
        <v>7545</v>
      </c>
      <c r="D7" s="12">
        <f>ROUNDDOWN(((I7*ROUNDDOWN(5/L7,0))+(J7*ROUNDDOWN(5/M7,0))+(K7*ROUNDDOWN(5/N7,0)))*H7,0)</f>
        <v>828</v>
      </c>
      <c r="E7" s="12">
        <v>9.74</v>
      </c>
      <c r="F7" s="13">
        <v>4</v>
      </c>
      <c r="G7" s="12">
        <v>12</v>
      </c>
      <c r="H7" s="12">
        <v>1.02</v>
      </c>
      <c r="I7" s="12">
        <f>29*2</f>
        <v>58</v>
      </c>
      <c r="J7" s="12">
        <v>0</v>
      </c>
      <c r="K7" s="12">
        <v>0</v>
      </c>
      <c r="L7" s="12">
        <v>0.35</v>
      </c>
      <c r="M7" s="12">
        <v>1</v>
      </c>
      <c r="N7" s="12">
        <v>1</v>
      </c>
      <c r="O7" t="s" s="14">
        <v>19</v>
      </c>
      <c r="P7" s="12">
        <v>45</v>
      </c>
      <c r="Q7" t="s" s="15">
        <v>20</v>
      </c>
    </row>
    <row r="8" ht="20.05" customHeight="1">
      <c r="A8" t="s" s="10">
        <v>35</v>
      </c>
      <c r="B8" s="11">
        <f>(173*2)+(402*1)</f>
        <v>748</v>
      </c>
      <c r="C8" s="12">
        <f>ROUNDDOWN((B8*ROUNDDOWN(90/E8,0))*H8,0)</f>
        <v>6732</v>
      </c>
      <c r="D8" s="12">
        <f>ROUNDDOWN(((I8*ROUNDDOWN(5/L8,0))+(J8*ROUNDDOWN(5/M8,0))+(K8*ROUNDDOWN(5/N8,0)))*H8,0)</f>
        <v>728</v>
      </c>
      <c r="E8" s="12">
        <v>9.720000000000001</v>
      </c>
      <c r="F8" s="13">
        <v>4</v>
      </c>
      <c r="G8" s="12">
        <v>10</v>
      </c>
      <c r="H8" s="12">
        <v>1</v>
      </c>
      <c r="I8" s="12">
        <f t="shared" si="24" ref="I8:I13">26*2</f>
        <v>52</v>
      </c>
      <c r="J8" s="12">
        <v>0</v>
      </c>
      <c r="K8" s="12">
        <v>0</v>
      </c>
      <c r="L8" s="12">
        <v>0.35</v>
      </c>
      <c r="M8" s="12">
        <v>1</v>
      </c>
      <c r="N8" s="12">
        <v>1</v>
      </c>
      <c r="O8" t="s" s="14">
        <v>19</v>
      </c>
      <c r="P8" s="12">
        <v>45</v>
      </c>
      <c r="Q8" t="s" s="15">
        <v>20</v>
      </c>
    </row>
    <row r="9" ht="20.05" customHeight="1">
      <c r="A9" t="s" s="10">
        <v>35</v>
      </c>
      <c r="B9" s="11">
        <f>(152*2)+(353*1)</f>
        <v>657</v>
      </c>
      <c r="C9" s="12">
        <f>ROUNDDOWN((B9*ROUNDDOWN(90/E9,0))*H9,0)</f>
        <v>5256</v>
      </c>
      <c r="D9" s="12">
        <f>ROUNDDOWN(((I9*ROUNDDOWN(5/L9,0))+(J9*ROUNDDOWN(5/M9,0))+(K9*ROUNDDOWN(5/N9,0)))*H9,0)</f>
        <v>572</v>
      </c>
      <c r="E9" s="12">
        <v>10.31</v>
      </c>
      <c r="F9" s="13">
        <v>4</v>
      </c>
      <c r="G9" s="12">
        <v>8</v>
      </c>
      <c r="H9" s="12">
        <v>1</v>
      </c>
      <c r="I9" s="12">
        <f t="shared" si="28" ref="I9:I15">22*2</f>
        <v>44</v>
      </c>
      <c r="J9" s="12">
        <v>0</v>
      </c>
      <c r="K9" s="12">
        <v>0</v>
      </c>
      <c r="L9" s="12">
        <v>0.38</v>
      </c>
      <c r="M9" s="12">
        <v>1</v>
      </c>
      <c r="N9" s="12">
        <v>1</v>
      </c>
      <c r="O9" t="s" s="14">
        <v>19</v>
      </c>
      <c r="P9" s="12">
        <v>45</v>
      </c>
      <c r="Q9" t="s" s="15">
        <v>20</v>
      </c>
    </row>
    <row r="10" ht="20.05" customHeight="1">
      <c r="A10" t="s" s="10">
        <v>35</v>
      </c>
      <c r="B10" s="11">
        <f>(141*2)+(329*1)</f>
        <v>611</v>
      </c>
      <c r="C10" s="12">
        <f>ROUNDDOWN((B10*ROUNDDOWN(90/E10,0))*H10,0)</f>
        <v>4888</v>
      </c>
      <c r="D10" s="12">
        <f>ROUNDDOWN(((I10*ROUNDDOWN(5/L10,0))+(J10*ROUNDDOWN(5/M10,0))+(K10*ROUNDDOWN(5/N10,0)))*H10,0)</f>
        <v>480</v>
      </c>
      <c r="E10" s="12">
        <v>11.08</v>
      </c>
      <c r="F10" s="13">
        <v>4</v>
      </c>
      <c r="G10" s="12">
        <v>7</v>
      </c>
      <c r="H10" s="12">
        <v>1</v>
      </c>
      <c r="I10" s="12">
        <f t="shared" si="32" ref="I10:I16">20*2</f>
        <v>40</v>
      </c>
      <c r="J10" s="12">
        <v>0</v>
      </c>
      <c r="K10" s="12">
        <v>0</v>
      </c>
      <c r="L10" s="12">
        <v>0.41</v>
      </c>
      <c r="M10" s="12">
        <v>1</v>
      </c>
      <c r="N10" s="12">
        <v>1</v>
      </c>
      <c r="O10" t="s" s="14">
        <v>19</v>
      </c>
      <c r="P10" s="12">
        <v>45</v>
      </c>
      <c r="Q10" t="s" s="15">
        <v>20</v>
      </c>
    </row>
    <row r="11" ht="20.05" customHeight="1">
      <c r="A11" t="s" s="10">
        <v>34</v>
      </c>
      <c r="B11" s="11">
        <f>393*2</f>
        <v>786</v>
      </c>
      <c r="C11" s="12">
        <f>ROUNDDOWN((B11*ROUNDDOWN(90/E11,0))*H11,0)</f>
        <v>5502</v>
      </c>
      <c r="D11" s="12">
        <f>ROUNDDOWN(((I11*ROUNDDOWN(5/L11,0))+(J11*ROUNDDOWN(5/M11,0))+(K11*ROUNDDOWN(5/N11,0)))*H11,0)</f>
        <v>518</v>
      </c>
      <c r="E11" s="12">
        <v>12.27</v>
      </c>
      <c r="F11" s="13">
        <v>3</v>
      </c>
      <c r="G11" s="12">
        <v>10</v>
      </c>
      <c r="H11" s="12">
        <v>1</v>
      </c>
      <c r="I11" s="12">
        <f t="shared" si="3"/>
        <v>74</v>
      </c>
      <c r="J11" s="12">
        <v>0</v>
      </c>
      <c r="K11" s="12">
        <v>0</v>
      </c>
      <c r="L11" s="12">
        <v>0.6899999999999999</v>
      </c>
      <c r="M11" s="12">
        <v>1</v>
      </c>
      <c r="N11" s="12">
        <v>1</v>
      </c>
      <c r="O11" t="s" s="14">
        <v>27</v>
      </c>
      <c r="P11" s="12">
        <v>25</v>
      </c>
      <c r="Q11" t="s" s="15">
        <v>20</v>
      </c>
    </row>
    <row r="12" ht="20.05" customHeight="1">
      <c r="A12" t="s" s="10">
        <v>36</v>
      </c>
      <c r="B12" s="11">
        <f>(360*2)+(456*1)</f>
        <v>1176</v>
      </c>
      <c r="C12" s="12">
        <f>ROUNDDOWN((B12*ROUNDDOWN(90/E12,0))*H12,0)</f>
        <v>8232</v>
      </c>
      <c r="D12" s="12">
        <f>ROUNDDOWN(((I12*ROUNDDOWN(5/L12,0))+(J12*ROUNDDOWN(5/M12,0))+(K12*ROUNDDOWN(5/N12,0)))*H12,0)</f>
        <v>704</v>
      </c>
      <c r="E12" s="12">
        <v>11.88</v>
      </c>
      <c r="F12" s="13">
        <v>3</v>
      </c>
      <c r="G12" s="12">
        <v>10</v>
      </c>
      <c r="H12" s="12">
        <v>1</v>
      </c>
      <c r="I12" s="12">
        <f>32*2</f>
        <v>64</v>
      </c>
      <c r="J12" s="12">
        <v>0</v>
      </c>
      <c r="K12" s="12">
        <v>0</v>
      </c>
      <c r="L12" s="12">
        <v>0.45</v>
      </c>
      <c r="M12" s="12">
        <v>1</v>
      </c>
      <c r="N12" s="12">
        <v>1</v>
      </c>
      <c r="O12" t="s" s="14">
        <v>27</v>
      </c>
      <c r="P12" s="12">
        <v>25</v>
      </c>
      <c r="Q12" t="s" s="15">
        <v>20</v>
      </c>
    </row>
    <row r="13" ht="20.05" customHeight="1">
      <c r="A13" t="s" s="10">
        <v>36</v>
      </c>
      <c r="B13" s="11">
        <f>(293*2)+(371*1)</f>
        <v>957</v>
      </c>
      <c r="C13" s="12">
        <f>ROUNDDOWN((B13*ROUNDDOWN(90/E13,0))*H13,0)</f>
        <v>6699</v>
      </c>
      <c r="D13" s="12">
        <f>ROUNDDOWN(((I13*ROUNDDOWN(5/L13,0))+(J13*ROUNDDOWN(5/M13,0))+(K13*ROUNDDOWN(5/N13,0)))*H13,0)</f>
        <v>520</v>
      </c>
      <c r="E13" s="12">
        <v>12.81</v>
      </c>
      <c r="F13" s="13">
        <v>3</v>
      </c>
      <c r="G13" s="12">
        <v>7</v>
      </c>
      <c r="H13" s="12">
        <v>1</v>
      </c>
      <c r="I13" s="12">
        <f t="shared" si="24"/>
        <v>52</v>
      </c>
      <c r="J13" s="12">
        <v>0</v>
      </c>
      <c r="K13" s="12">
        <v>0</v>
      </c>
      <c r="L13" s="12">
        <v>0.49</v>
      </c>
      <c r="M13" s="12">
        <v>1</v>
      </c>
      <c r="N13" s="12">
        <v>1</v>
      </c>
      <c r="O13" t="s" s="14">
        <v>27</v>
      </c>
      <c r="P13" s="12">
        <v>25</v>
      </c>
      <c r="Q13" t="s" s="15">
        <v>20</v>
      </c>
    </row>
    <row r="14" ht="20.05" customHeight="1">
      <c r="A14" t="s" s="10">
        <v>36</v>
      </c>
      <c r="B14" s="11">
        <f>(270*2)+(344*1)</f>
        <v>884</v>
      </c>
      <c r="C14" s="12">
        <f>ROUNDDOWN((B14*ROUNDDOWN(90/E14,0))*H14,0)</f>
        <v>6188</v>
      </c>
      <c r="D14" s="12">
        <f>ROUNDDOWN(((I14*ROUNDDOWN(5/L14,0))+(J14*ROUNDDOWN(5/M14,0))+(K14*ROUNDDOWN(5/N14,0)))*H14,0)</f>
        <v>480</v>
      </c>
      <c r="E14" s="12">
        <v>12.64</v>
      </c>
      <c r="F14" s="13">
        <v>3</v>
      </c>
      <c r="G14" s="12">
        <v>6</v>
      </c>
      <c r="H14" s="12">
        <v>1</v>
      </c>
      <c r="I14" s="12">
        <f>24*2</f>
        <v>48</v>
      </c>
      <c r="J14" s="12">
        <v>0</v>
      </c>
      <c r="K14" s="12">
        <v>0</v>
      </c>
      <c r="L14" s="12">
        <v>0.49</v>
      </c>
      <c r="M14" s="12">
        <v>1</v>
      </c>
      <c r="N14" s="12">
        <v>1</v>
      </c>
      <c r="O14" t="s" s="14">
        <v>27</v>
      </c>
      <c r="P14" s="12">
        <v>25</v>
      </c>
      <c r="Q14" t="s" s="15">
        <v>20</v>
      </c>
    </row>
    <row r="15" ht="20.05" customHeight="1">
      <c r="A15" t="s" s="10">
        <v>36</v>
      </c>
      <c r="B15" s="11">
        <f>(249*2)+(317*1)</f>
        <v>815</v>
      </c>
      <c r="C15" s="12">
        <f>ROUNDDOWN((B15*ROUNDDOWN(90/E15,0))*H15,0)</f>
        <v>5705</v>
      </c>
      <c r="D15" s="12">
        <f>ROUNDDOWN(((I15*ROUNDDOWN(5/L15,0))+(J15*ROUNDDOWN(5/M15,0))+(K15*ROUNDDOWN(5/N15,0)))*H15,0)</f>
        <v>396</v>
      </c>
      <c r="E15" s="12">
        <v>12.83</v>
      </c>
      <c r="F15" s="13">
        <v>3</v>
      </c>
      <c r="G15" s="12">
        <v>5</v>
      </c>
      <c r="H15" s="12">
        <v>1</v>
      </c>
      <c r="I15" s="12">
        <f t="shared" si="28"/>
        <v>44</v>
      </c>
      <c r="J15" s="12">
        <v>0</v>
      </c>
      <c r="K15" s="12">
        <v>0</v>
      </c>
      <c r="L15" s="12">
        <v>0.51</v>
      </c>
      <c r="M15" s="12">
        <v>1</v>
      </c>
      <c r="N15" s="12">
        <v>1</v>
      </c>
      <c r="O15" t="s" s="14">
        <v>27</v>
      </c>
      <c r="P15" s="12">
        <v>25</v>
      </c>
      <c r="Q15" t="s" s="15">
        <v>20</v>
      </c>
    </row>
    <row r="16" ht="20.05" customHeight="1">
      <c r="A16" t="s" s="10">
        <v>36</v>
      </c>
      <c r="B16" s="11">
        <f>(228*2)+(290*1)</f>
        <v>746</v>
      </c>
      <c r="C16" s="12">
        <f>ROUNDDOWN((B16*ROUNDDOWN(90/E16,0))*H16,0)</f>
        <v>4476</v>
      </c>
      <c r="D16" s="12">
        <f>ROUNDDOWN(((I16*ROUNDDOWN(5/L16,0))+(J16*ROUNDDOWN(5/M16,0))+(K16*ROUNDDOWN(5/N16,0)))*H16,0)</f>
        <v>360</v>
      </c>
      <c r="E16" s="12">
        <v>13.02</v>
      </c>
      <c r="F16" s="13">
        <v>3</v>
      </c>
      <c r="G16" s="12">
        <v>4</v>
      </c>
      <c r="H16" s="12">
        <v>1</v>
      </c>
      <c r="I16" s="12">
        <f t="shared" si="32"/>
        <v>40</v>
      </c>
      <c r="J16" s="12">
        <v>0</v>
      </c>
      <c r="K16" s="12">
        <v>0</v>
      </c>
      <c r="L16" s="12">
        <v>0.51</v>
      </c>
      <c r="M16" s="12">
        <v>1</v>
      </c>
      <c r="N16" s="12">
        <v>1</v>
      </c>
      <c r="O16" t="s" s="14">
        <v>27</v>
      </c>
      <c r="P16" s="12">
        <v>25</v>
      </c>
      <c r="Q16" t="s" s="15">
        <v>20</v>
      </c>
    </row>
    <row r="17" ht="20.05" customHeight="1">
      <c r="A17" t="s" s="10">
        <v>36</v>
      </c>
      <c r="B17" s="11">
        <f>(207*2)+(263*1)</f>
        <v>677</v>
      </c>
      <c r="C17" s="12">
        <f>ROUNDDOWN((B17*ROUNDDOWN(90/E17,0))*H17,0)</f>
        <v>4062</v>
      </c>
      <c r="D17" s="12">
        <f>ROUNDDOWN(((I17*ROUNDDOWN(5/L17,0))+(J17*ROUNDDOWN(5/M17,0))+(K17*ROUNDDOWN(5/N17,0)))*H17,0)</f>
        <v>342</v>
      </c>
      <c r="E17" s="12">
        <v>13.21</v>
      </c>
      <c r="F17" s="13">
        <v>3</v>
      </c>
      <c r="G17" s="12">
        <v>3</v>
      </c>
      <c r="H17" s="12">
        <v>1</v>
      </c>
      <c r="I17" s="12">
        <f>19*2</f>
        <v>38</v>
      </c>
      <c r="J17" s="12">
        <v>0</v>
      </c>
      <c r="K17" s="12">
        <v>0</v>
      </c>
      <c r="L17" s="12">
        <v>0.52</v>
      </c>
      <c r="M17" s="12">
        <v>1</v>
      </c>
      <c r="N17" s="12">
        <v>1</v>
      </c>
      <c r="O17" t="s" s="14">
        <v>27</v>
      </c>
      <c r="P17" s="12">
        <v>25</v>
      </c>
      <c r="Q17" t="s" s="15">
        <v>20</v>
      </c>
    </row>
    <row r="18" ht="20.05" customHeight="1">
      <c r="A18" t="s" s="10">
        <v>36</v>
      </c>
      <c r="B18" s="11">
        <f>(186*2)+(236*1)</f>
        <v>608</v>
      </c>
      <c r="C18" s="12">
        <f>ROUNDDOWN((B18*ROUNDDOWN(90/E18,0))*H18,0)</f>
        <v>3648</v>
      </c>
      <c r="D18" s="12">
        <f>ROUNDDOWN(((I18*ROUNDDOWN(5/L18,0))+(J18*ROUNDDOWN(5/M18,0))+(K18*ROUNDDOWN(5/N18,0)))*H18,0)</f>
        <v>306</v>
      </c>
      <c r="E18" s="12">
        <v>13.39</v>
      </c>
      <c r="F18" s="13">
        <v>3</v>
      </c>
      <c r="G18" s="12">
        <v>2</v>
      </c>
      <c r="H18" s="12">
        <v>1</v>
      </c>
      <c r="I18" s="12">
        <f>17*2</f>
        <v>34</v>
      </c>
      <c r="J18" s="12">
        <v>0</v>
      </c>
      <c r="K18" s="12">
        <v>0</v>
      </c>
      <c r="L18" s="12">
        <v>0.53</v>
      </c>
      <c r="M18" s="12">
        <v>1</v>
      </c>
      <c r="N18" s="12">
        <v>1</v>
      </c>
      <c r="O18" t="s" s="14">
        <v>27</v>
      </c>
      <c r="P18" s="12">
        <v>25</v>
      </c>
      <c r="Q18" t="s" s="15">
        <v>20</v>
      </c>
    </row>
    <row r="19" ht="20.05" customHeight="1">
      <c r="A19" t="s" s="10">
        <v>36</v>
      </c>
      <c r="B19" s="11">
        <f>(165*2)+(209*1)</f>
        <v>539</v>
      </c>
      <c r="C19" s="12">
        <f>ROUNDDOWN((B19*ROUNDDOWN(90/E19,0))*H19,0)</f>
        <v>3234</v>
      </c>
      <c r="D19" s="12">
        <f>ROUNDDOWN(((I19*ROUNDDOWN(5/L19,0))+(J19*ROUNDDOWN(5/M19,0))+(K19*ROUNDDOWN(5/N19,0)))*H19,0)</f>
        <v>270</v>
      </c>
      <c r="E19" s="12">
        <v>13.59</v>
      </c>
      <c r="F19" s="13">
        <v>3</v>
      </c>
      <c r="G19" s="12">
        <v>1</v>
      </c>
      <c r="H19" s="12">
        <v>1</v>
      </c>
      <c r="I19" s="12">
        <f t="shared" si="16"/>
        <v>30</v>
      </c>
      <c r="J19" s="12">
        <v>0</v>
      </c>
      <c r="K19" s="12">
        <v>0</v>
      </c>
      <c r="L19" s="12">
        <v>0.55</v>
      </c>
      <c r="M19" s="12">
        <v>1</v>
      </c>
      <c r="N19" s="12">
        <v>1</v>
      </c>
      <c r="O19" t="s" s="14">
        <v>27</v>
      </c>
      <c r="P19" s="12">
        <v>25</v>
      </c>
      <c r="Q19" t="s" s="15">
        <v>20</v>
      </c>
    </row>
    <row r="20" ht="20.05" customHeight="1">
      <c r="A20" t="s" s="10">
        <v>36</v>
      </c>
      <c r="B20" s="11">
        <f>(144*2)+(182*1)</f>
        <v>470</v>
      </c>
      <c r="C20" s="12">
        <f>ROUNDDOWN((B20*ROUNDDOWN(90/E20,0))*H20,0)</f>
        <v>2820</v>
      </c>
      <c r="D20" s="12">
        <f>ROUNDDOWN(((I20*ROUNDDOWN(5/L20,0))+(J20*ROUNDDOWN(5/M20,0))+(K20*ROUNDDOWN(5/N20,0)))*H20,0)</f>
        <v>252</v>
      </c>
      <c r="E20" s="12">
        <v>13.77</v>
      </c>
      <c r="F20" s="13">
        <v>3</v>
      </c>
      <c r="G20" s="12">
        <v>0</v>
      </c>
      <c r="H20" s="12">
        <v>1</v>
      </c>
      <c r="I20" s="12">
        <f>14*2</f>
        <v>28</v>
      </c>
      <c r="J20" s="12">
        <v>0</v>
      </c>
      <c r="K20" s="12">
        <v>0</v>
      </c>
      <c r="L20" s="12">
        <v>0.55</v>
      </c>
      <c r="M20" s="12">
        <v>1</v>
      </c>
      <c r="N20" s="12">
        <v>1</v>
      </c>
      <c r="O20" t="s" s="14">
        <v>27</v>
      </c>
      <c r="P20" s="12">
        <v>25</v>
      </c>
      <c r="Q20" t="s" s="15">
        <v>20</v>
      </c>
    </row>
    <row r="21" ht="20.05" customHeight="1">
      <c r="A21" t="s" s="10">
        <v>37</v>
      </c>
      <c r="B21" s="11">
        <f>131*2</f>
        <v>262</v>
      </c>
      <c r="C21" s="12">
        <f>ROUNDDOWN((B21*ROUNDDOWN(90/E21,0))*H21,0)</f>
        <v>2096</v>
      </c>
      <c r="D21" s="12">
        <f>ROUNDDOWN(((I21*ROUNDDOWN(5/L21,0))+(J21*ROUNDDOWN(5/M21,0))+(K21*ROUNDDOWN(5/N21,0)))*H21,0)</f>
        <v>4224</v>
      </c>
      <c r="E21" s="12">
        <v>10.46</v>
      </c>
      <c r="F21" s="13">
        <v>3</v>
      </c>
      <c r="G21" s="12">
        <v>6</v>
      </c>
      <c r="H21" s="12">
        <v>1</v>
      </c>
      <c r="I21" s="12">
        <f>48*8</f>
        <v>384</v>
      </c>
      <c r="J21" s="12">
        <v>0</v>
      </c>
      <c r="K21" s="12">
        <v>0</v>
      </c>
      <c r="L21" s="12">
        <v>0.43</v>
      </c>
      <c r="M21" s="12">
        <v>1</v>
      </c>
      <c r="N21" s="12">
        <v>1</v>
      </c>
      <c r="O21" t="s" s="14">
        <v>22</v>
      </c>
      <c r="P21" s="12">
        <v>25</v>
      </c>
      <c r="Q21" t="s" s="15">
        <v>20</v>
      </c>
    </row>
    <row r="22" ht="20.05" customHeight="1">
      <c r="A22" t="s" s="10">
        <v>38</v>
      </c>
      <c r="B22" s="11">
        <f>(69*2)+(144*1)</f>
        <v>282</v>
      </c>
      <c r="C22" s="12">
        <f>ROUNDDOWN((B22*ROUNDDOWN(90/E22,0))*H22,0)</f>
        <v>1692</v>
      </c>
      <c r="D22" s="12">
        <f>ROUNDDOWN(((I22*ROUNDDOWN(5/L22,0))+(J22*ROUNDDOWN(5/M22,0))+(K22*ROUNDDOWN(5/N22,0)))*H22,0)</f>
        <v>200</v>
      </c>
      <c r="E22" s="12">
        <v>13.53</v>
      </c>
      <c r="F22" s="13">
        <v>3</v>
      </c>
      <c r="G22" s="12">
        <v>0</v>
      </c>
      <c r="H22" s="12">
        <v>1</v>
      </c>
      <c r="I22" s="12">
        <f>10*2</f>
        <v>20</v>
      </c>
      <c r="J22" s="12">
        <v>0</v>
      </c>
      <c r="K22" s="12">
        <v>0</v>
      </c>
      <c r="L22" s="12">
        <v>0.5</v>
      </c>
      <c r="M22" s="12">
        <v>1</v>
      </c>
      <c r="N22" s="12">
        <v>1</v>
      </c>
      <c r="O22" t="s" s="14">
        <v>19</v>
      </c>
      <c r="P22" s="12">
        <v>25</v>
      </c>
      <c r="Q22" t="s" s="15">
        <v>20</v>
      </c>
    </row>
    <row r="23" ht="20.05" customHeight="1">
      <c r="A23" t="s" s="10">
        <v>39</v>
      </c>
      <c r="B23" s="11">
        <f>(131*4)+(305*1)</f>
        <v>829</v>
      </c>
      <c r="C23" s="12">
        <f>ROUNDDOWN((B23*ROUNDDOWN(90/E23,0))*H23,0)</f>
        <v>5803</v>
      </c>
      <c r="D23" s="12">
        <f>ROUNDDOWN(((I23*ROUNDDOWN(5/L23,0))+(J23*ROUNDDOWN(5/M23,0))+(K23*ROUNDDOWN(5/N23,0)))*H23,0)</f>
        <v>864</v>
      </c>
      <c r="E23" s="12">
        <v>12.37</v>
      </c>
      <c r="F23" s="13">
        <v>3</v>
      </c>
      <c r="G23" s="12">
        <v>6</v>
      </c>
      <c r="H23" s="12">
        <v>1</v>
      </c>
      <c r="I23" s="12">
        <f>24*3</f>
        <v>72</v>
      </c>
      <c r="J23" s="12">
        <v>0</v>
      </c>
      <c r="K23" s="12">
        <v>0</v>
      </c>
      <c r="L23" s="12">
        <v>0.41</v>
      </c>
      <c r="M23" s="12">
        <v>1</v>
      </c>
      <c r="N23" s="12">
        <v>1</v>
      </c>
      <c r="O23" t="s" s="14">
        <v>25</v>
      </c>
      <c r="P23" s="12">
        <v>25</v>
      </c>
      <c r="Q23" t="s" s="15">
        <v>20</v>
      </c>
    </row>
    <row r="24" ht="20.05" customHeight="1">
      <c r="A24" t="s" s="10">
        <v>39</v>
      </c>
      <c r="B24" s="11">
        <f>(120*4)+(281*1)</f>
        <v>761</v>
      </c>
      <c r="C24" s="12">
        <f>ROUNDDOWN((B24*ROUNDDOWN(90/E24,0))*H24,0)</f>
        <v>5327</v>
      </c>
      <c r="D24" s="12">
        <f>ROUNDDOWN(((I24*ROUNDDOWN(5/L24,0))+(J24*ROUNDDOWN(5/M24,0))+(K24*ROUNDDOWN(5/N24,0)))*H24,0)</f>
        <v>759</v>
      </c>
      <c r="E24" s="12">
        <v>12.57</v>
      </c>
      <c r="F24" s="13">
        <v>3</v>
      </c>
      <c r="G24" s="12">
        <v>5</v>
      </c>
      <c r="H24" s="12">
        <v>1</v>
      </c>
      <c r="I24" s="12">
        <f>23*3</f>
        <v>69</v>
      </c>
      <c r="J24" s="12">
        <v>0</v>
      </c>
      <c r="K24" s="12">
        <v>0</v>
      </c>
      <c r="L24" s="12">
        <v>0.43</v>
      </c>
      <c r="M24" s="12">
        <v>1</v>
      </c>
      <c r="N24" s="12">
        <v>1</v>
      </c>
      <c r="O24" t="s" s="14">
        <v>25</v>
      </c>
      <c r="P24" s="12">
        <v>25</v>
      </c>
      <c r="Q24" t="s" s="15">
        <v>20</v>
      </c>
    </row>
    <row r="25" ht="20.05" customHeight="1">
      <c r="A25" t="s" s="10">
        <v>39</v>
      </c>
      <c r="B25" s="11">
        <f>(110*4)+(257*1)</f>
        <v>697</v>
      </c>
      <c r="C25" s="12">
        <f>ROUNDDOWN((B25*ROUNDDOWN(90/E25,0))*H25,0)</f>
        <v>4879</v>
      </c>
      <c r="D25" s="12">
        <f>ROUNDDOWN(((I25*ROUNDDOWN(5/L25,0))+(J25*ROUNDDOWN(5/M25,0))+(K25*ROUNDDOWN(5/N25,0)))*H25,0)</f>
        <v>726</v>
      </c>
      <c r="E25" s="12">
        <v>12.77</v>
      </c>
      <c r="F25" s="13">
        <v>3</v>
      </c>
      <c r="G25" s="12">
        <v>4</v>
      </c>
      <c r="H25" s="12">
        <v>1</v>
      </c>
      <c r="I25" s="12">
        <f>22*3</f>
        <v>66</v>
      </c>
      <c r="J25" s="12">
        <v>0</v>
      </c>
      <c r="K25" s="12">
        <v>0</v>
      </c>
      <c r="L25" s="12">
        <v>0.43</v>
      </c>
      <c r="M25" s="12">
        <v>1</v>
      </c>
      <c r="N25" s="12">
        <v>1</v>
      </c>
      <c r="O25" t="s" s="14">
        <v>25</v>
      </c>
      <c r="P25" s="12">
        <v>25</v>
      </c>
      <c r="Q25" t="s" s="15">
        <v>20</v>
      </c>
    </row>
    <row r="26" ht="20.05" customHeight="1">
      <c r="A26" t="s" s="10">
        <v>39</v>
      </c>
      <c r="B26" s="11">
        <f>(99*4)+(233*1)</f>
        <v>629</v>
      </c>
      <c r="C26" s="12">
        <f>ROUNDDOWN((B26*ROUNDDOWN(90/E26,0))*H26,0)</f>
        <v>3774</v>
      </c>
      <c r="D26" s="12">
        <f>ROUNDDOWN(((I26*ROUNDDOWN(5/L26,0))+(J26*ROUNDDOWN(5/M26,0))+(K26*ROUNDDOWN(5/N26,0)))*H26,0)</f>
        <v>693</v>
      </c>
      <c r="E26" s="12">
        <v>12.97</v>
      </c>
      <c r="F26" s="13">
        <v>3</v>
      </c>
      <c r="G26" s="12">
        <v>3</v>
      </c>
      <c r="H26" s="12">
        <v>1</v>
      </c>
      <c r="I26" s="12">
        <f>21*3</f>
        <v>63</v>
      </c>
      <c r="J26" s="12">
        <v>0</v>
      </c>
      <c r="K26" s="12">
        <v>0</v>
      </c>
      <c r="L26" s="12">
        <v>0.44</v>
      </c>
      <c r="M26" s="12">
        <v>1</v>
      </c>
      <c r="N26" s="12">
        <v>1</v>
      </c>
      <c r="O26" t="s" s="14">
        <v>25</v>
      </c>
      <c r="P26" s="12">
        <v>25</v>
      </c>
      <c r="Q26" t="s" s="15">
        <v>20</v>
      </c>
    </row>
    <row r="27" ht="20.05" customHeight="1">
      <c r="A27" t="s" s="10">
        <v>39</v>
      </c>
      <c r="B27" s="11">
        <f>(89*4)+(209*1)</f>
        <v>565</v>
      </c>
      <c r="C27" s="12">
        <f>ROUNDDOWN((B27*ROUNDDOWN(90/E27,0))*H27,0)</f>
        <v>3390</v>
      </c>
      <c r="D27" s="12">
        <f>ROUNDDOWN(((I27*ROUNDDOWN(5/L27,0))+(J27*ROUNDDOWN(5/M27,0))+(K27*ROUNDDOWN(5/N27,0)))*H27,0)</f>
        <v>660</v>
      </c>
      <c r="E27" s="12">
        <v>13.17</v>
      </c>
      <c r="F27" s="13">
        <v>3</v>
      </c>
      <c r="G27" s="12">
        <v>2</v>
      </c>
      <c r="H27" s="12">
        <v>1</v>
      </c>
      <c r="I27" s="12">
        <f>20*3</f>
        <v>60</v>
      </c>
      <c r="J27" s="12">
        <v>0</v>
      </c>
      <c r="K27" s="12">
        <v>0</v>
      </c>
      <c r="L27" s="12">
        <v>0.44</v>
      </c>
      <c r="M27" s="12">
        <v>1</v>
      </c>
      <c r="N27" s="12">
        <v>1</v>
      </c>
      <c r="O27" t="s" s="14">
        <v>25</v>
      </c>
      <c r="P27" s="12">
        <v>25</v>
      </c>
      <c r="Q27" t="s" s="15">
        <v>20</v>
      </c>
    </row>
    <row r="28" ht="20.05" customHeight="1">
      <c r="A28" t="s" s="10">
        <v>39</v>
      </c>
      <c r="B28" s="11">
        <f>(78*4)+(185*1)</f>
        <v>497</v>
      </c>
      <c r="C28" s="12">
        <f>ROUNDDOWN((B28*ROUNDDOWN(90/E28,0))*H28,0)</f>
        <v>2982</v>
      </c>
      <c r="D28" s="12">
        <f>ROUNDDOWN(((I28*ROUNDDOWN(5/L28,0))+(J28*ROUNDDOWN(5/M28,0))+(K28*ROUNDDOWN(5/N28,0)))*H28,0)</f>
        <v>627</v>
      </c>
      <c r="E28" s="12">
        <v>13.37</v>
      </c>
      <c r="F28" s="13">
        <v>3</v>
      </c>
      <c r="G28" s="12">
        <v>1</v>
      </c>
      <c r="H28" s="12">
        <v>1</v>
      </c>
      <c r="I28" s="12">
        <f>19*3</f>
        <v>57</v>
      </c>
      <c r="J28" s="12">
        <v>0</v>
      </c>
      <c r="K28" s="12">
        <v>0</v>
      </c>
      <c r="L28" s="12">
        <v>0.45</v>
      </c>
      <c r="M28" s="12">
        <v>1</v>
      </c>
      <c r="N28" s="12">
        <v>1</v>
      </c>
      <c r="O28" t="s" s="14">
        <v>25</v>
      </c>
      <c r="P28" s="12">
        <v>25</v>
      </c>
      <c r="Q28" t="s" s="15">
        <v>20</v>
      </c>
    </row>
    <row r="29" ht="20.05" customHeight="1">
      <c r="A29" t="s" s="10">
        <v>39</v>
      </c>
      <c r="B29" s="11">
        <f>(69*4)+(161*1)</f>
        <v>437</v>
      </c>
      <c r="C29" s="12">
        <f>ROUNDDOWN((B29*ROUNDDOWN(90/E29,0))*H29,0)</f>
        <v>2622</v>
      </c>
      <c r="D29" s="12">
        <f>ROUNDDOWN(((I29*ROUNDDOWN(5/L29,0))+(J29*ROUNDDOWN(5/M29,0))+(K29*ROUNDDOWN(5/N29,0)))*H29,0)</f>
        <v>540</v>
      </c>
      <c r="E29" s="12">
        <v>13.57</v>
      </c>
      <c r="F29" s="13">
        <v>3</v>
      </c>
      <c r="G29" s="12">
        <v>0</v>
      </c>
      <c r="H29" s="12">
        <v>1</v>
      </c>
      <c r="I29" s="12">
        <f>18*3</f>
        <v>54</v>
      </c>
      <c r="J29" s="12">
        <v>0</v>
      </c>
      <c r="K29" s="12">
        <v>0</v>
      </c>
      <c r="L29" s="12">
        <v>0.46</v>
      </c>
      <c r="M29" s="12">
        <v>1</v>
      </c>
      <c r="N29" s="12">
        <v>1</v>
      </c>
      <c r="O29" t="s" s="14">
        <v>25</v>
      </c>
      <c r="P29" s="12">
        <v>25</v>
      </c>
      <c r="Q29" t="s" s="15">
        <v>20</v>
      </c>
    </row>
    <row r="30" ht="20.05" customHeight="1">
      <c r="A30" t="s" s="10">
        <v>39</v>
      </c>
      <c r="B30" s="11">
        <f>(57*4)+(234*1)</f>
        <v>462</v>
      </c>
      <c r="C30" s="12">
        <f>ROUNDDOWN((B30*ROUNDDOWN(90/E30,0))*H30,0)</f>
        <v>2772</v>
      </c>
      <c r="D30" s="12">
        <f>ROUNDDOWN(((I30*ROUNDDOWN(5/L30,0))+(J30*ROUNDDOWN(5/M30,0))+(K30*ROUNDDOWN(5/N30,0)))*H30,0)</f>
        <v>405</v>
      </c>
      <c r="E30" s="12">
        <v>14.17</v>
      </c>
      <c r="F30" s="13">
        <v>1</v>
      </c>
      <c r="G30" s="12">
        <v>0</v>
      </c>
      <c r="H30" s="12">
        <v>1</v>
      </c>
      <c r="I30" s="12">
        <f>15*3</f>
        <v>45</v>
      </c>
      <c r="J30" s="12">
        <v>0</v>
      </c>
      <c r="K30" s="12">
        <v>0</v>
      </c>
      <c r="L30" s="12">
        <v>0.51</v>
      </c>
      <c r="M30" s="12">
        <v>1</v>
      </c>
      <c r="N30" s="12">
        <v>1</v>
      </c>
      <c r="O30" t="s" s="14">
        <v>25</v>
      </c>
      <c r="P30" s="12">
        <v>5</v>
      </c>
      <c r="Q30" t="s" s="15">
        <v>20</v>
      </c>
    </row>
  </sheetData>
  <mergeCells count="1">
    <mergeCell ref="A1:Q1"/>
  </mergeCells>
  <conditionalFormatting sqref="F3:F30">
    <cfRule type="cellIs" dxfId="8" priority="1" operator="equal" stopIfTrue="1">
      <formula>5</formula>
    </cfRule>
    <cfRule type="cellIs" dxfId="9" priority="2" operator="equal" stopIfTrue="1">
      <formula>4</formula>
    </cfRule>
    <cfRule type="cellIs" dxfId="10" priority="3" operator="equal" stopIfTrue="1">
      <formula>3</formula>
    </cfRule>
    <cfRule type="cellIs" dxfId="11" priority="4" operator="equal" stopIfTrue="1">
      <formula>2</formula>
    </cfRule>
    <cfRule type="cellIs" dxfId="12" priority="5" operator="equal" stopIfTrue="1">
      <formula>1</formula>
    </cfRule>
  </conditionalFormatting>
  <conditionalFormatting sqref="O3:O30">
    <cfRule type="cellIs" dxfId="13" priority="1" operator="equal" stopIfTrue="1">
      <formula>"Sakura Empire"</formula>
    </cfRule>
    <cfRule type="cellIs" dxfId="14" priority="2" operator="equal" stopIfTrue="1">
      <formula>"Eagle Union"</formula>
    </cfRule>
    <cfRule type="cellIs" dxfId="15" priority="3" operator="equal" stopIfTrue="1">
      <formula>"Royal Navy"</formula>
    </cfRule>
    <cfRule type="cellIs" dxfId="16" priority="4" operator="equal" stopIfTrue="1">
      <formula>"Iron Blood"</formula>
    </cfRule>
  </conditionalFormatting>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2:Q13"/>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22.9141" style="17" customWidth="1"/>
    <col min="2" max="2" width="13.4375" style="17" customWidth="1"/>
    <col min="3" max="3" width="6.40625" style="17" customWidth="1"/>
    <col min="4" max="4" width="15.0781" style="17" customWidth="1"/>
    <col min="5" max="5" width="9.40625" style="17" customWidth="1"/>
    <col min="6" max="6" width="4.90625" style="17" customWidth="1"/>
    <col min="7" max="7" width="5.07812" style="17" customWidth="1"/>
    <col min="8" max="8" width="4.72656" style="17" customWidth="1"/>
    <col min="9" max="11" width="9.07812" style="17" customWidth="1"/>
    <col min="12" max="14" width="13.2266" style="17" customWidth="1"/>
    <col min="15" max="15" width="12.4062" style="17" customWidth="1"/>
    <col min="16" max="16" width="8.90625" style="17" customWidth="1"/>
    <col min="17" max="17" width="10.7266" style="17" customWidth="1"/>
    <col min="18" max="16384" width="16.3516" style="17" customWidth="1"/>
  </cols>
  <sheetData>
    <row r="1" ht="27.65" customHeight="1">
      <c r="A1" t="s" s="2">
        <v>40</v>
      </c>
      <c r="B1" s="2"/>
      <c r="C1" s="2"/>
      <c r="D1" s="2"/>
      <c r="E1" s="2"/>
      <c r="F1" s="2"/>
      <c r="G1" s="2"/>
      <c r="H1" s="2"/>
      <c r="I1" s="2"/>
      <c r="J1" s="2"/>
      <c r="K1" s="2"/>
      <c r="L1" s="2"/>
      <c r="M1" s="2"/>
      <c r="N1" s="2"/>
      <c r="O1" s="2"/>
      <c r="P1" s="2"/>
      <c r="Q1" s="2"/>
    </row>
    <row r="2" ht="20.25" customHeight="1">
      <c r="A2" t="s" s="3">
        <v>30</v>
      </c>
      <c r="B2" t="s" s="3">
        <v>41</v>
      </c>
      <c r="C2" t="s" s="3">
        <v>3</v>
      </c>
      <c r="D2" t="s" s="3">
        <v>4</v>
      </c>
      <c r="E2" t="s" s="3">
        <v>5</v>
      </c>
      <c r="F2" t="s" s="3">
        <v>6</v>
      </c>
      <c r="G2" t="s" s="3">
        <v>7</v>
      </c>
      <c r="H2" t="s" s="3">
        <v>8</v>
      </c>
      <c r="I2" t="s" s="3">
        <v>9</v>
      </c>
      <c r="J2" t="s" s="3">
        <v>10</v>
      </c>
      <c r="K2" t="s" s="3">
        <v>11</v>
      </c>
      <c r="L2" t="s" s="3">
        <v>12</v>
      </c>
      <c r="M2" t="s" s="3">
        <v>13</v>
      </c>
      <c r="N2" t="s" s="3">
        <v>14</v>
      </c>
      <c r="O2" t="s" s="3">
        <v>15</v>
      </c>
      <c r="P2" t="s" s="3">
        <v>16</v>
      </c>
      <c r="Q2" t="s" s="3">
        <v>17</v>
      </c>
    </row>
    <row r="3" ht="20.25" customHeight="1">
      <c r="A3" t="s" s="4">
        <v>42</v>
      </c>
      <c r="B3" s="18">
        <f>144*2</f>
        <v>288</v>
      </c>
      <c r="C3" s="6">
        <f>ROUNDDOWN((B3*ROUNDDOWN(90/E3,0))*H3,0)</f>
        <v>2016</v>
      </c>
      <c r="D3" s="6">
        <f>ROUNDDOWN(((I3*ROUNDDOWN(5/L3,0))+(J3*ROUNDDOWN(5/M3,0))+(K3*ROUNDDOWN(5/N3,0)))*H3,0)</f>
        <v>560</v>
      </c>
      <c r="E3" s="6">
        <v>12.37</v>
      </c>
      <c r="F3" s="7">
        <v>4</v>
      </c>
      <c r="G3" s="6">
        <v>0</v>
      </c>
      <c r="H3" s="6">
        <v>1</v>
      </c>
      <c r="I3" s="6">
        <f>4*35</f>
        <v>140</v>
      </c>
      <c r="J3" s="6">
        <v>0</v>
      </c>
      <c r="K3" s="6">
        <v>0</v>
      </c>
      <c r="L3" s="6">
        <v>1.12</v>
      </c>
      <c r="M3" s="6">
        <v>1</v>
      </c>
      <c r="N3" s="6">
        <v>1</v>
      </c>
      <c r="O3" t="s" s="8">
        <v>19</v>
      </c>
      <c r="P3" s="6">
        <v>45</v>
      </c>
      <c r="Q3" t="s" s="9">
        <v>20</v>
      </c>
    </row>
    <row r="4" ht="20.05" customHeight="1">
      <c r="A4" t="s" s="10">
        <v>43</v>
      </c>
      <c r="B4" s="19">
        <f>160*4</f>
        <v>640</v>
      </c>
      <c r="C4" s="12">
        <f>ROUNDDOWN((B4*ROUNDDOWN(90/E4,0))*H4,0)</f>
        <v>5760</v>
      </c>
      <c r="D4" s="12">
        <f>ROUNDDOWN(((I4*ROUNDDOWN(5/L4,0))+(J4*ROUNDDOWN(5/M4,0))+(K4*ROUNDDOWN(5/N4,0)))*H4,0)</f>
        <v>936</v>
      </c>
      <c r="E4" s="12">
        <v>9.85</v>
      </c>
      <c r="F4" s="13">
        <v>4</v>
      </c>
      <c r="G4" s="12">
        <v>10</v>
      </c>
      <c r="H4" s="12">
        <v>1</v>
      </c>
      <c r="I4" s="12">
        <v>20</v>
      </c>
      <c r="J4" s="12">
        <f>24*2</f>
        <v>48</v>
      </c>
      <c r="K4" s="12">
        <v>0</v>
      </c>
      <c r="L4" s="12">
        <v>0.76</v>
      </c>
      <c r="M4" s="12">
        <v>0.28</v>
      </c>
      <c r="N4" s="12">
        <v>1</v>
      </c>
      <c r="O4" t="s" s="14">
        <v>25</v>
      </c>
      <c r="P4" s="12">
        <v>45</v>
      </c>
      <c r="Q4" t="s" s="15">
        <v>20</v>
      </c>
    </row>
    <row r="5" ht="20.05" customHeight="1">
      <c r="A5" t="s" s="10">
        <v>44</v>
      </c>
      <c r="B5" s="20">
        <f>360*2</f>
        <v>720</v>
      </c>
      <c r="C5" s="12">
        <f>ROUNDDOWN((B5*ROUNDDOWN(90/E5,0))*H5,0)</f>
        <v>5760</v>
      </c>
      <c r="D5" s="12">
        <f>ROUNDDOWN(((I5*ROUNDDOWN(5/L5,0))+(J5*ROUNDDOWN(5/M5,0))+(K5*ROUNDDOWN(5/N5,0)))*H5,0)</f>
        <v>1848</v>
      </c>
      <c r="E5" s="12">
        <v>11.13</v>
      </c>
      <c r="F5" s="13">
        <v>4</v>
      </c>
      <c r="G5" s="12">
        <v>10</v>
      </c>
      <c r="H5" s="12">
        <v>1</v>
      </c>
      <c r="I5" s="12">
        <f>46*4</f>
        <v>184</v>
      </c>
      <c r="J5" s="12">
        <f>40*2</f>
        <v>80</v>
      </c>
      <c r="K5" s="12">
        <v>0</v>
      </c>
      <c r="L5" s="12">
        <v>0.64</v>
      </c>
      <c r="M5" s="12">
        <v>0.66</v>
      </c>
      <c r="N5" s="12">
        <v>1</v>
      </c>
      <c r="O5" t="s" s="14">
        <v>27</v>
      </c>
      <c r="P5" s="12">
        <v>45</v>
      </c>
      <c r="Q5" t="s" s="15">
        <v>20</v>
      </c>
    </row>
    <row r="6" ht="20.05" customHeight="1">
      <c r="A6" t="s" s="10">
        <v>45</v>
      </c>
      <c r="B6" s="20">
        <f>395*2</f>
        <v>790</v>
      </c>
      <c r="C6" s="12">
        <f>ROUNDDOWN((B6*ROUNDDOWN(90/E6,0))*H6,0)</f>
        <v>7181</v>
      </c>
      <c r="D6" s="12">
        <f>ROUNDDOWN(((I6*ROUNDDOWN(5/L6,0))+(J6*ROUNDDOWN(5/M6,0))+(K6*ROUNDDOWN(5/N6,0)))*H6,0)</f>
        <v>2945</v>
      </c>
      <c r="E6" s="12">
        <v>9.68</v>
      </c>
      <c r="F6" s="13">
        <v>4</v>
      </c>
      <c r="G6" s="12">
        <v>10</v>
      </c>
      <c r="H6" s="12">
        <v>1.01</v>
      </c>
      <c r="I6" s="12">
        <f>81*6</f>
        <v>486</v>
      </c>
      <c r="J6" s="12">
        <v>0</v>
      </c>
      <c r="K6" s="12">
        <v>0</v>
      </c>
      <c r="L6" s="12">
        <v>0.73</v>
      </c>
      <c r="M6" s="12">
        <v>1</v>
      </c>
      <c r="N6" s="12">
        <v>1</v>
      </c>
      <c r="O6" t="s" s="14">
        <v>27</v>
      </c>
      <c r="P6" s="12">
        <v>45</v>
      </c>
      <c r="Q6" t="s" s="15">
        <v>46</v>
      </c>
    </row>
    <row r="7" ht="20.05" customHeight="1">
      <c r="A7" t="s" s="10">
        <v>45</v>
      </c>
      <c r="B7" s="20">
        <f>380*2</f>
        <v>760</v>
      </c>
      <c r="C7" s="12">
        <f>ROUNDDOWN((B7*ROUNDDOWN(90/E7,0))*H7,0)</f>
        <v>6840</v>
      </c>
      <c r="D7" s="12">
        <f>ROUNDDOWN(((I7*ROUNDDOWN(5/L7,0))+(J7*ROUNDDOWN(5/M7,0))+(K7*ROUNDDOWN(5/N7,0)))*H7,0)</f>
        <v>2808</v>
      </c>
      <c r="E7" s="12">
        <v>9.68</v>
      </c>
      <c r="F7" s="13">
        <v>4</v>
      </c>
      <c r="G7" s="12">
        <v>10</v>
      </c>
      <c r="H7" s="12">
        <v>1</v>
      </c>
      <c r="I7" s="12">
        <f>78*6</f>
        <v>468</v>
      </c>
      <c r="J7" s="12">
        <v>0</v>
      </c>
      <c r="K7" s="12">
        <v>0</v>
      </c>
      <c r="L7" s="12">
        <v>0.73</v>
      </c>
      <c r="M7" s="12">
        <v>1</v>
      </c>
      <c r="N7" s="12">
        <v>1</v>
      </c>
      <c r="O7" t="s" s="14">
        <v>27</v>
      </c>
      <c r="P7" s="12">
        <v>45</v>
      </c>
      <c r="Q7" t="s" s="15">
        <v>46</v>
      </c>
    </row>
    <row r="8" ht="20.05" customHeight="1">
      <c r="A8" t="s" s="10">
        <v>47</v>
      </c>
      <c r="B8" s="20">
        <f>374*2</f>
        <v>748</v>
      </c>
      <c r="C8" s="12">
        <f>ROUNDDOWN((B8*ROUNDDOWN(90/E8,0))*H8,0)</f>
        <v>6799</v>
      </c>
      <c r="D8" s="12">
        <f>ROUNDDOWN(((I8*ROUNDDOWN(5/L8,0))+(J8*ROUNDDOWN(5/M8,0))+(K8*ROUNDDOWN(5/N8,0)))*H8,0)</f>
        <v>1676</v>
      </c>
      <c r="E8" s="12">
        <v>9.890000000000001</v>
      </c>
      <c r="F8" s="13">
        <v>4</v>
      </c>
      <c r="G8" s="12">
        <v>11</v>
      </c>
      <c r="H8" s="12">
        <v>1.01</v>
      </c>
      <c r="I8" s="12">
        <f>83*4</f>
        <v>332</v>
      </c>
      <c r="J8" s="12">
        <v>0</v>
      </c>
      <c r="K8" s="12">
        <v>0</v>
      </c>
      <c r="L8" s="12">
        <v>0.84</v>
      </c>
      <c r="M8" s="12">
        <v>1</v>
      </c>
      <c r="N8" s="12">
        <v>1</v>
      </c>
      <c r="O8" t="s" s="14">
        <v>22</v>
      </c>
      <c r="P8" s="12">
        <v>45</v>
      </c>
      <c r="Q8" t="s" s="15">
        <v>20</v>
      </c>
    </row>
    <row r="9" ht="20.05" customHeight="1">
      <c r="A9" t="s" s="10">
        <v>47</v>
      </c>
      <c r="B9" s="20">
        <f>270*2</f>
        <v>540</v>
      </c>
      <c r="C9" s="12">
        <f>ROUNDDOWN((B9*ROUNDDOWN(90/E9,0))*H9,0)</f>
        <v>3780</v>
      </c>
      <c r="D9" s="12">
        <f>ROUNDDOWN(((I9*ROUNDDOWN(5/L9,0))+(J9*ROUNDDOWN(5/M9,0))+(K9*ROUNDDOWN(5/N9,0)))*H9,0)</f>
        <v>1200</v>
      </c>
      <c r="E9" s="12">
        <v>11.35</v>
      </c>
      <c r="F9" s="13">
        <v>4</v>
      </c>
      <c r="G9" s="12">
        <v>6</v>
      </c>
      <c r="H9" s="12">
        <v>1</v>
      </c>
      <c r="I9" s="12">
        <f>60*4</f>
        <v>240</v>
      </c>
      <c r="J9" s="12">
        <v>0</v>
      </c>
      <c r="K9" s="12">
        <v>0</v>
      </c>
      <c r="L9" s="12">
        <v>0.99</v>
      </c>
      <c r="M9" s="12">
        <v>1</v>
      </c>
      <c r="N9" s="12">
        <v>1</v>
      </c>
      <c r="O9" t="s" s="14">
        <v>22</v>
      </c>
      <c r="P9" s="12">
        <v>45</v>
      </c>
      <c r="Q9" t="s" s="15">
        <v>20</v>
      </c>
    </row>
    <row r="10" ht="20.05" customHeight="1">
      <c r="A10" t="s" s="10">
        <v>48</v>
      </c>
      <c r="B10" s="20">
        <f>173*2</f>
        <v>346</v>
      </c>
      <c r="C10" s="12">
        <f>ROUNDDOWN((B10*ROUNDDOWN(90/E10,0))*H10,0)</f>
        <v>3114</v>
      </c>
      <c r="D10" s="12">
        <f>ROUNDDOWN(((I10*ROUNDDOWN(5/L10,0))+(J10*ROUNDDOWN(5/M10,0))+(K10*ROUNDDOWN(5/N10,0)))*H10,0)</f>
        <v>1184</v>
      </c>
      <c r="E10" s="12">
        <v>9.800000000000001</v>
      </c>
      <c r="F10" s="13">
        <v>4</v>
      </c>
      <c r="G10" s="12">
        <v>10</v>
      </c>
      <c r="H10" s="12">
        <v>1</v>
      </c>
      <c r="I10" s="12">
        <f>40*2</f>
        <v>80</v>
      </c>
      <c r="J10" s="12">
        <f>26*2</f>
        <v>52</v>
      </c>
      <c r="K10" s="12">
        <v>0</v>
      </c>
      <c r="L10" s="12">
        <v>0.66</v>
      </c>
      <c r="M10" s="12">
        <v>0.39</v>
      </c>
      <c r="N10" s="12">
        <v>1</v>
      </c>
      <c r="O10" t="s" s="14">
        <v>19</v>
      </c>
      <c r="P10" s="12">
        <v>45</v>
      </c>
      <c r="Q10" t="s" s="15">
        <v>20</v>
      </c>
    </row>
    <row r="11" ht="20.05" customHeight="1">
      <c r="A11" t="s" s="10">
        <v>48</v>
      </c>
      <c r="B11" s="20">
        <f>131*2</f>
        <v>262</v>
      </c>
      <c r="C11" s="12">
        <f>ROUNDDOWN((B11*ROUNDDOWN(90/E11,0))*H11,0)</f>
        <v>2096</v>
      </c>
      <c r="D11" s="12">
        <f>ROUNDDOWN(((I11*ROUNDDOWN(5/L11,0))+(J11*ROUNDDOWN(5/M11,0))+(K11*ROUNDDOWN(5/N11,0)))*H11,0)</f>
        <v>852</v>
      </c>
      <c r="E11" s="12">
        <v>10.11</v>
      </c>
      <c r="F11" s="13">
        <v>4</v>
      </c>
      <c r="G11" s="12">
        <v>6</v>
      </c>
      <c r="H11" s="12">
        <v>1</v>
      </c>
      <c r="I11" s="12">
        <f>18*2</f>
        <v>36</v>
      </c>
      <c r="J11" s="12">
        <f>30*2</f>
        <v>60</v>
      </c>
      <c r="K11" s="12">
        <v>0</v>
      </c>
      <c r="L11" s="12">
        <v>0.41</v>
      </c>
      <c r="M11" s="12">
        <v>0.71</v>
      </c>
      <c r="N11" s="12">
        <v>1</v>
      </c>
      <c r="O11" t="s" s="14">
        <v>19</v>
      </c>
      <c r="P11" s="12">
        <v>45</v>
      </c>
      <c r="Q11" t="s" s="15">
        <v>20</v>
      </c>
    </row>
    <row r="12" ht="20.05" customHeight="1">
      <c r="A12" t="s" s="10">
        <v>49</v>
      </c>
      <c r="B12" s="11">
        <v>0</v>
      </c>
      <c r="C12" s="12">
        <f>ROUNDDOWN((B12*ROUNDDOWN(90/E12,0))*H12,0)</f>
        <v>0</v>
      </c>
      <c r="D12" s="12">
        <f>ROUNDDOWN(((I12*ROUNDDOWN(5/L12,0))+(J12*ROUNDDOWN(5/M12,0))+(K12*ROUNDDOWN(5/N12,0)))*H12,0)</f>
        <v>674</v>
      </c>
      <c r="E12" s="12">
        <v>1</v>
      </c>
      <c r="F12" s="13">
        <v>4</v>
      </c>
      <c r="G12" s="12">
        <v>0</v>
      </c>
      <c r="H12" s="12">
        <v>1</v>
      </c>
      <c r="I12" s="12">
        <f>30*3</f>
        <v>90</v>
      </c>
      <c r="J12" s="12">
        <f>14*2</f>
        <v>28</v>
      </c>
      <c r="K12" s="12">
        <v>0</v>
      </c>
      <c r="L12" s="12">
        <v>0.97</v>
      </c>
      <c r="M12" s="12">
        <v>0.59</v>
      </c>
      <c r="N12" s="12">
        <v>1</v>
      </c>
      <c r="O12" t="s" s="14">
        <v>25</v>
      </c>
      <c r="P12" s="12">
        <v>45</v>
      </c>
      <c r="Q12" t="s" s="15">
        <v>20</v>
      </c>
    </row>
    <row r="13" ht="20.05" customHeight="1">
      <c r="A13" t="s" s="10">
        <v>50</v>
      </c>
      <c r="B13" s="20">
        <f>144*1</f>
        <v>144</v>
      </c>
      <c r="C13" s="12">
        <f>ROUNDDOWN((B13*ROUNDDOWN(90/E13,0))*H13,0)</f>
        <v>1008</v>
      </c>
      <c r="D13" s="12">
        <f>ROUNDDOWN(((I13*ROUNDDOWN(5/L13,0))+(J13*ROUNDDOWN(5/M13,0))+(K13*ROUNDDOWN(5/N13,0)))*H13,0)</f>
        <v>820</v>
      </c>
      <c r="E13" s="12">
        <v>12.5</v>
      </c>
      <c r="F13" s="13">
        <v>3</v>
      </c>
      <c r="G13" s="12">
        <v>0</v>
      </c>
      <c r="H13" s="12">
        <v>1</v>
      </c>
      <c r="I13" s="12">
        <f>16*4</f>
        <v>64</v>
      </c>
      <c r="J13" s="12">
        <f>15*2</f>
        <v>30</v>
      </c>
      <c r="K13" s="12">
        <v>0</v>
      </c>
      <c r="L13" s="12">
        <v>0.48</v>
      </c>
      <c r="M13" s="12">
        <v>0.8</v>
      </c>
      <c r="N13" s="12">
        <v>1</v>
      </c>
      <c r="O13" t="s" s="14">
        <v>27</v>
      </c>
      <c r="P13" s="12">
        <v>25</v>
      </c>
      <c r="Q13" t="s" s="15">
        <v>20</v>
      </c>
    </row>
  </sheetData>
  <mergeCells count="1">
    <mergeCell ref="A1:Q1"/>
  </mergeCells>
  <conditionalFormatting sqref="F3:F13">
    <cfRule type="cellIs" dxfId="17" priority="1" operator="equal" stopIfTrue="1">
      <formula>5</formula>
    </cfRule>
    <cfRule type="cellIs" dxfId="18" priority="2" operator="equal" stopIfTrue="1">
      <formula>4</formula>
    </cfRule>
    <cfRule type="cellIs" dxfId="19" priority="3" operator="equal" stopIfTrue="1">
      <formula>3</formula>
    </cfRule>
    <cfRule type="cellIs" dxfId="20" priority="4" operator="equal" stopIfTrue="1">
      <formula>2</formula>
    </cfRule>
  </conditionalFormatting>
  <conditionalFormatting sqref="O3:O13">
    <cfRule type="cellIs" dxfId="21" priority="1" operator="equal" stopIfTrue="1">
      <formula>"Iron Blood"</formula>
    </cfRule>
    <cfRule type="cellIs" dxfId="22" priority="2" operator="equal" stopIfTrue="1">
      <formula>"Eagle Union"</formula>
    </cfRule>
    <cfRule type="cellIs" dxfId="23" priority="3" operator="equal" stopIfTrue="1">
      <formula>"Royal Navy"</formula>
    </cfRule>
    <cfRule type="cellIs" dxfId="24" priority="4" operator="equal" stopIfTrue="1">
      <formula>"Sakura Empire"</formula>
    </cfRule>
  </conditionalFormatting>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2:G3"/>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22.9141" style="21" customWidth="1"/>
    <col min="2" max="2" width="3.9375" style="21" customWidth="1"/>
    <col min="3" max="3" width="5.40625" style="21" customWidth="1"/>
    <col min="4" max="4" width="4.90625" style="21" customWidth="1"/>
    <col min="5" max="5" width="5.07812" style="21" customWidth="1"/>
    <col min="6" max="6" width="10.5781" style="21" customWidth="1"/>
    <col min="7" max="7" width="14.7266" style="21" customWidth="1"/>
    <col min="8" max="16384" width="16.3516" style="21" customWidth="1"/>
  </cols>
  <sheetData>
    <row r="1" ht="27.65" customHeight="1">
      <c r="A1" t="s" s="2">
        <v>51</v>
      </c>
      <c r="B1" s="2"/>
      <c r="C1" s="2"/>
      <c r="D1" s="2"/>
      <c r="E1" s="2"/>
      <c r="F1" s="2"/>
      <c r="G1" s="2"/>
    </row>
    <row r="2" ht="20.25" customHeight="1">
      <c r="A2" t="s" s="3">
        <v>30</v>
      </c>
      <c r="B2" t="s" s="3">
        <v>52</v>
      </c>
      <c r="C2" t="s" s="3">
        <v>53</v>
      </c>
      <c r="D2" t="s" s="3">
        <v>6</v>
      </c>
      <c r="E2" t="s" s="3">
        <v>7</v>
      </c>
      <c r="F2" t="s" s="3">
        <v>15</v>
      </c>
      <c r="G2" t="s" s="3">
        <v>17</v>
      </c>
    </row>
    <row r="3" ht="20.25" customHeight="1">
      <c r="A3" t="s" s="4">
        <v>54</v>
      </c>
      <c r="B3" s="5">
        <v>28</v>
      </c>
      <c r="C3" s="6">
        <v>24</v>
      </c>
      <c r="D3" s="7">
        <v>3</v>
      </c>
      <c r="E3" s="6">
        <v>7</v>
      </c>
      <c r="F3" t="s" s="8">
        <v>27</v>
      </c>
      <c r="G3" t="s" s="9">
        <v>55</v>
      </c>
    </row>
  </sheetData>
  <mergeCells count="1">
    <mergeCell ref="A1:G1"/>
  </mergeCells>
  <conditionalFormatting sqref="D3">
    <cfRule type="cellIs" dxfId="25" priority="1" operator="equal" stopIfTrue="1">
      <formula>5</formula>
    </cfRule>
    <cfRule type="cellIs" dxfId="26" priority="2" operator="equal" stopIfTrue="1">
      <formula>4</formula>
    </cfRule>
    <cfRule type="cellIs" dxfId="27" priority="3" operator="equal" stopIfTrue="1">
      <formula>3</formula>
    </cfRule>
    <cfRule type="cellIs" dxfId="28" priority="4" operator="equal" stopIfTrue="1">
      <formula>2</formula>
    </cfRule>
  </conditionalFormatting>
  <conditionalFormatting sqref="F3">
    <cfRule type="cellIs" dxfId="29" priority="1" operator="equal" stopIfTrue="1">
      <formula>"Eagle Union"</formula>
    </cfRule>
  </conditionalFormatting>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2:K40"/>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41.6172" style="22" customWidth="1"/>
    <col min="2" max="2" width="3.9375" style="22" customWidth="1"/>
    <col min="3" max="3" width="5.61719" style="22" customWidth="1"/>
    <col min="4" max="4" width="6.40625" style="22" customWidth="1"/>
    <col min="5" max="5" width="9.40625" style="22" customWidth="1"/>
    <col min="6" max="6" width="4.90625" style="22" customWidth="1"/>
    <col min="7" max="7" width="5.07812" style="22" customWidth="1"/>
    <col min="8" max="8" width="4.72656" style="22" customWidth="1"/>
    <col min="9" max="9" width="16.5781" style="22" customWidth="1"/>
    <col min="10" max="10" width="8.57812" style="22" customWidth="1"/>
    <col min="11" max="11" width="10.5781" style="22" customWidth="1"/>
    <col min="12" max="16384" width="16.3516" style="22" customWidth="1"/>
  </cols>
  <sheetData>
    <row r="1" ht="27.65" customHeight="1">
      <c r="A1" t="s" s="2">
        <v>56</v>
      </c>
      <c r="B1" s="2"/>
      <c r="C1" s="2"/>
      <c r="D1" s="2"/>
      <c r="E1" s="2"/>
      <c r="F1" s="2"/>
      <c r="G1" s="2"/>
      <c r="H1" s="2"/>
      <c r="I1" s="2"/>
      <c r="J1" s="2"/>
      <c r="K1" s="2"/>
    </row>
    <row r="2" ht="20.25" customHeight="1">
      <c r="A2" t="s" s="3">
        <v>1</v>
      </c>
      <c r="B2" t="s" s="3">
        <v>57</v>
      </c>
      <c r="C2" t="s" s="3">
        <v>58</v>
      </c>
      <c r="D2" t="s" s="3">
        <v>3</v>
      </c>
      <c r="E2" t="s" s="3">
        <v>5</v>
      </c>
      <c r="F2" t="s" s="3">
        <v>6</v>
      </c>
      <c r="G2" t="s" s="3">
        <v>7</v>
      </c>
      <c r="H2" t="s" s="3">
        <v>8</v>
      </c>
      <c r="I2" t="s" s="3">
        <v>15</v>
      </c>
      <c r="J2" t="s" s="3">
        <v>59</v>
      </c>
      <c r="K2" t="s" s="3">
        <v>17</v>
      </c>
    </row>
    <row r="3" ht="20.25" customHeight="1">
      <c r="A3" t="s" s="4">
        <v>60</v>
      </c>
      <c r="B3" s="23"/>
      <c r="C3" s="6">
        <f>78*2</f>
        <v>156</v>
      </c>
      <c r="D3" s="6">
        <f>ROUNDDOWN((C3*ROUNDDOWN(90/E3,0))*H3,0)</f>
        <v>468</v>
      </c>
      <c r="E3" s="6">
        <v>25.65</v>
      </c>
      <c r="F3" s="7">
        <v>5</v>
      </c>
      <c r="G3" s="6">
        <v>0</v>
      </c>
      <c r="H3" s="6">
        <v>1</v>
      </c>
      <c r="I3" t="s" s="8">
        <v>22</v>
      </c>
      <c r="J3" s="6">
        <v>65</v>
      </c>
      <c r="K3" t="s" s="9">
        <v>20</v>
      </c>
    </row>
    <row r="4" ht="20.05" customHeight="1">
      <c r="A4" t="s" s="10">
        <v>61</v>
      </c>
      <c r="B4" s="24"/>
      <c r="C4" s="12">
        <f t="shared" si="2" ref="C4:C39">35*6</f>
        <v>210</v>
      </c>
      <c r="D4" s="12">
        <f>ROUNDDOWN((C4*ROUNDDOWN(90/E4,0))*H4,0)</f>
        <v>1680</v>
      </c>
      <c r="E4" s="12">
        <v>10.51</v>
      </c>
      <c r="F4" s="13">
        <v>5</v>
      </c>
      <c r="G4" s="12">
        <v>0</v>
      </c>
      <c r="H4" s="12">
        <v>1</v>
      </c>
      <c r="I4" t="s" s="14">
        <v>22</v>
      </c>
      <c r="J4" s="12">
        <v>65</v>
      </c>
      <c r="K4" t="s" s="15">
        <v>20</v>
      </c>
    </row>
    <row r="5" ht="20.05" customHeight="1">
      <c r="A5" t="s" s="10">
        <v>62</v>
      </c>
      <c r="B5" s="24"/>
      <c r="C5" s="12">
        <f t="shared" si="4" ref="C5:C12">165*3</f>
        <v>495</v>
      </c>
      <c r="D5" s="12">
        <f>ROUNDDOWN((C5*ROUNDDOWN(90/E5,0))*H5,0)</f>
        <v>1980</v>
      </c>
      <c r="E5" s="12">
        <v>21.41</v>
      </c>
      <c r="F5" s="13">
        <v>4</v>
      </c>
      <c r="G5" s="12">
        <v>10</v>
      </c>
      <c r="H5" s="12">
        <v>1</v>
      </c>
      <c r="I5" t="s" s="14">
        <v>27</v>
      </c>
      <c r="J5" s="12">
        <v>45</v>
      </c>
      <c r="K5" t="s" s="15">
        <v>20</v>
      </c>
    </row>
    <row r="6" ht="20.05" customHeight="1">
      <c r="A6" t="s" s="10">
        <v>62</v>
      </c>
      <c r="B6" s="24"/>
      <c r="C6" s="12">
        <f>69*3</f>
        <v>207</v>
      </c>
      <c r="D6" s="12">
        <f>ROUNDDOWN((C6*ROUNDDOWN(90/E6,0))*H6,0)</f>
        <v>414</v>
      </c>
      <c r="E6" s="12">
        <v>35.85</v>
      </c>
      <c r="F6" s="13">
        <v>4</v>
      </c>
      <c r="G6" s="12">
        <v>0</v>
      </c>
      <c r="H6" s="12">
        <v>1</v>
      </c>
      <c r="I6" t="s" s="14">
        <v>27</v>
      </c>
      <c r="J6" s="12">
        <v>45</v>
      </c>
      <c r="K6" t="s" s="15">
        <v>20</v>
      </c>
    </row>
    <row r="7" ht="20.05" customHeight="1">
      <c r="A7" t="s" s="10">
        <v>63</v>
      </c>
      <c r="B7" s="24"/>
      <c r="C7" s="12">
        <f>91*4</f>
        <v>364</v>
      </c>
      <c r="D7" s="12">
        <f>ROUNDDOWN((C7*ROUNDDOWN(90/E7,0))*H7,0)</f>
        <v>728</v>
      </c>
      <c r="E7" s="12">
        <v>32</v>
      </c>
      <c r="F7" s="13">
        <v>4</v>
      </c>
      <c r="G7" s="12">
        <v>7</v>
      </c>
      <c r="H7" s="12">
        <v>1</v>
      </c>
      <c r="I7" t="s" s="14">
        <v>22</v>
      </c>
      <c r="J7" s="12">
        <v>45</v>
      </c>
      <c r="K7" t="s" s="15">
        <v>20</v>
      </c>
    </row>
    <row r="8" ht="20.05" customHeight="1">
      <c r="A8" t="s" s="10">
        <v>63</v>
      </c>
      <c r="B8" s="24"/>
      <c r="C8" s="12">
        <f>67*4</f>
        <v>268</v>
      </c>
      <c r="D8" s="12">
        <f>ROUNDDOWN((C8*ROUNDDOWN(90/E8,0))*H8,0)</f>
        <v>536</v>
      </c>
      <c r="E8" s="12">
        <v>32.52</v>
      </c>
      <c r="F8" s="13">
        <v>4</v>
      </c>
      <c r="G8" s="12">
        <v>3</v>
      </c>
      <c r="H8" s="12">
        <v>1</v>
      </c>
      <c r="I8" t="s" s="14">
        <v>22</v>
      </c>
      <c r="J8" s="12">
        <v>45</v>
      </c>
      <c r="K8" t="s" s="15">
        <v>20</v>
      </c>
    </row>
    <row r="9" ht="20.05" customHeight="1">
      <c r="A9" t="s" s="10">
        <v>64</v>
      </c>
      <c r="B9" s="24"/>
      <c r="C9" s="12">
        <f>132*2</f>
        <v>264</v>
      </c>
      <c r="D9" s="12">
        <f>ROUNDDOWN((C9*ROUNDDOWN(90/E9,0))*H9,0)</f>
        <v>1056</v>
      </c>
      <c r="E9" s="12">
        <v>18.23</v>
      </c>
      <c r="F9" s="13">
        <v>4</v>
      </c>
      <c r="G9" s="12">
        <v>10</v>
      </c>
      <c r="H9" s="12">
        <v>1</v>
      </c>
      <c r="I9" t="s" s="14">
        <v>25</v>
      </c>
      <c r="J9" s="12">
        <v>45</v>
      </c>
      <c r="K9" t="s" s="15">
        <v>20</v>
      </c>
    </row>
    <row r="10" ht="20.05" customHeight="1">
      <c r="A10" t="s" s="10">
        <v>64</v>
      </c>
      <c r="B10" s="24"/>
      <c r="C10" s="12">
        <f t="shared" si="14" ref="C10:C28">58*2</f>
        <v>116</v>
      </c>
      <c r="D10" s="12">
        <f>ROUNDDOWN((C10*ROUNDDOWN(90/E10,0))*H10,0)</f>
        <v>348</v>
      </c>
      <c r="E10" s="12">
        <v>24.04</v>
      </c>
      <c r="F10" s="13">
        <v>4</v>
      </c>
      <c r="G10" s="12">
        <v>0</v>
      </c>
      <c r="H10" s="12">
        <v>1</v>
      </c>
      <c r="I10" t="s" s="14">
        <v>25</v>
      </c>
      <c r="J10" s="12">
        <v>45</v>
      </c>
      <c r="K10" t="s" s="15">
        <v>20</v>
      </c>
    </row>
    <row r="11" ht="20.05" customHeight="1">
      <c r="A11" t="s" s="10">
        <v>65</v>
      </c>
      <c r="B11" s="24"/>
      <c r="C11" s="12">
        <f>148*3</f>
        <v>444</v>
      </c>
      <c r="D11" s="12">
        <f>ROUNDDOWN((C11*ROUNDDOWN(90/E11,0))*H11,0)</f>
        <v>1332</v>
      </c>
      <c r="E11" s="12">
        <v>24.02</v>
      </c>
      <c r="F11" s="13">
        <v>4</v>
      </c>
      <c r="G11" s="12">
        <v>10</v>
      </c>
      <c r="H11" s="12">
        <v>1</v>
      </c>
      <c r="I11" t="s" s="14">
        <v>66</v>
      </c>
      <c r="J11" s="12">
        <v>45</v>
      </c>
      <c r="K11" t="s" s="15">
        <v>67</v>
      </c>
    </row>
    <row r="12" ht="20.05" customHeight="1">
      <c r="A12" t="s" s="10">
        <v>68</v>
      </c>
      <c r="B12" s="24"/>
      <c r="C12" s="12">
        <f t="shared" si="4"/>
        <v>495</v>
      </c>
      <c r="D12" s="12">
        <f>ROUNDDOWN((C12*ROUNDDOWN(90/E12,0))*H12,0)</f>
        <v>1980</v>
      </c>
      <c r="E12" s="12">
        <v>21.41</v>
      </c>
      <c r="F12" s="13">
        <v>4</v>
      </c>
      <c r="G12" s="12">
        <v>10</v>
      </c>
      <c r="H12" s="12">
        <v>1</v>
      </c>
      <c r="I12" t="s" s="14">
        <v>69</v>
      </c>
      <c r="J12" s="12">
        <v>45</v>
      </c>
      <c r="K12" t="s" s="15">
        <v>20</v>
      </c>
    </row>
    <row r="13" ht="20.05" customHeight="1">
      <c r="A13" t="s" s="10">
        <v>70</v>
      </c>
      <c r="B13" s="24"/>
      <c r="C13" s="12">
        <f t="shared" si="20" ref="C13:C24">118*3</f>
        <v>354</v>
      </c>
      <c r="D13" s="12">
        <f>ROUNDDOWN((C13*ROUNDDOWN(90/E13,0))*H13,0)</f>
        <v>1062</v>
      </c>
      <c r="E13" s="12">
        <v>25.34</v>
      </c>
      <c r="F13" s="13">
        <v>4</v>
      </c>
      <c r="G13" s="12">
        <v>7</v>
      </c>
      <c r="H13" s="12">
        <v>1</v>
      </c>
      <c r="I13" t="s" s="14">
        <v>71</v>
      </c>
      <c r="J13" s="12">
        <v>45</v>
      </c>
      <c r="K13" t="s" s="15">
        <v>20</v>
      </c>
    </row>
    <row r="14" ht="20.05" customHeight="1">
      <c r="A14" t="s" s="10">
        <v>72</v>
      </c>
      <c r="B14" t="s" s="25">
        <v>73</v>
      </c>
      <c r="C14" s="12">
        <f>57*3</f>
        <v>171</v>
      </c>
      <c r="D14" s="12">
        <f>ROUNDDOWN((C14*ROUNDDOWN(90/E14,0))*H14,0)</f>
        <v>1197</v>
      </c>
      <c r="E14" s="12">
        <v>11.31</v>
      </c>
      <c r="F14" s="13">
        <v>4</v>
      </c>
      <c r="G14" s="12">
        <v>0</v>
      </c>
      <c r="H14" s="12">
        <v>1</v>
      </c>
      <c r="I14" t="s" s="14">
        <v>25</v>
      </c>
      <c r="J14" s="12">
        <v>45</v>
      </c>
      <c r="K14" t="s" s="15">
        <v>20</v>
      </c>
    </row>
    <row r="15" ht="20.05" customHeight="1">
      <c r="A15" t="s" s="10">
        <v>74</v>
      </c>
      <c r="B15" t="s" s="25">
        <v>73</v>
      </c>
      <c r="C15" s="12">
        <f>100*3</f>
        <v>300</v>
      </c>
      <c r="D15" s="12">
        <f>ROUNDDOWN((C15*ROUNDDOWN(90/E15,0))*H15,0)</f>
        <v>2700</v>
      </c>
      <c r="E15" s="12">
        <v>9.66</v>
      </c>
      <c r="F15" s="13">
        <v>4</v>
      </c>
      <c r="G15" s="12">
        <v>8</v>
      </c>
      <c r="H15" s="12">
        <v>1</v>
      </c>
      <c r="I15" t="s" s="14">
        <v>69</v>
      </c>
      <c r="J15" s="12">
        <v>45</v>
      </c>
      <c r="K15" t="s" s="15">
        <v>20</v>
      </c>
    </row>
    <row r="16" ht="20.05" customHeight="1">
      <c r="A16" t="s" s="10">
        <v>74</v>
      </c>
      <c r="B16" t="s" s="25">
        <v>73</v>
      </c>
      <c r="C16" s="12">
        <f>94*3</f>
        <v>282</v>
      </c>
      <c r="D16" s="12">
        <f>ROUNDDOWN((C16*ROUNDDOWN(90/E16,0))*H16,0)</f>
        <v>2538</v>
      </c>
      <c r="E16" s="12">
        <v>9.9</v>
      </c>
      <c r="F16" s="13">
        <v>4</v>
      </c>
      <c r="G16" s="12">
        <v>7</v>
      </c>
      <c r="H16" s="12">
        <v>1</v>
      </c>
      <c r="I16" t="s" s="14">
        <v>69</v>
      </c>
      <c r="J16" s="12">
        <v>45</v>
      </c>
      <c r="K16" t="s" s="15">
        <v>20</v>
      </c>
    </row>
    <row r="17" ht="20.05" customHeight="1">
      <c r="A17" t="s" s="10">
        <v>74</v>
      </c>
      <c r="B17" t="s" s="25">
        <v>73</v>
      </c>
      <c r="C17" s="12">
        <f>90*3</f>
        <v>270</v>
      </c>
      <c r="D17" s="12">
        <f>ROUNDDOWN((C17*ROUNDDOWN(90/E17,0))*H17,0)</f>
        <v>2160</v>
      </c>
      <c r="E17" s="12">
        <v>10.13</v>
      </c>
      <c r="F17" s="13">
        <v>4</v>
      </c>
      <c r="G17" s="12">
        <v>6</v>
      </c>
      <c r="H17" s="12">
        <v>1</v>
      </c>
      <c r="I17" t="s" s="14">
        <v>69</v>
      </c>
      <c r="J17" s="12">
        <v>45</v>
      </c>
      <c r="K17" t="s" s="15">
        <v>20</v>
      </c>
    </row>
    <row r="18" ht="20.05" customHeight="1">
      <c r="A18" t="s" s="10">
        <v>74</v>
      </c>
      <c r="B18" t="s" s="25">
        <v>73</v>
      </c>
      <c r="C18" s="12">
        <f>84*3</f>
        <v>252</v>
      </c>
      <c r="D18" s="12">
        <f>ROUNDDOWN((C18*ROUNDDOWN(90/E18,0))*H18,0)</f>
        <v>2016</v>
      </c>
      <c r="E18" s="12">
        <v>10.36</v>
      </c>
      <c r="F18" s="13">
        <v>4</v>
      </c>
      <c r="G18" s="12">
        <v>5</v>
      </c>
      <c r="H18" s="12">
        <v>1</v>
      </c>
      <c r="I18" t="s" s="14">
        <v>69</v>
      </c>
      <c r="J18" s="12">
        <v>45</v>
      </c>
      <c r="K18" t="s" s="15">
        <v>20</v>
      </c>
    </row>
    <row r="19" ht="20.05" customHeight="1">
      <c r="A19" t="s" s="10">
        <v>74</v>
      </c>
      <c r="B19" t="s" s="25">
        <v>73</v>
      </c>
      <c r="C19" s="12">
        <f>80*3</f>
        <v>240</v>
      </c>
      <c r="D19" s="12">
        <f>ROUNDDOWN((C19*ROUNDDOWN(90/E19,0))*H19,0)</f>
        <v>1920</v>
      </c>
      <c r="E19" s="12">
        <v>10.59</v>
      </c>
      <c r="F19" s="13">
        <v>4</v>
      </c>
      <c r="G19" s="12">
        <v>4</v>
      </c>
      <c r="H19" s="12">
        <v>1</v>
      </c>
      <c r="I19" t="s" s="14">
        <v>69</v>
      </c>
      <c r="J19" s="12">
        <v>45</v>
      </c>
      <c r="K19" t="s" s="15">
        <v>20</v>
      </c>
    </row>
    <row r="20" ht="20.05" customHeight="1">
      <c r="A20" t="s" s="10">
        <v>74</v>
      </c>
      <c r="B20" t="s" s="25">
        <v>73</v>
      </c>
      <c r="C20" s="12">
        <f>76*3</f>
        <v>228</v>
      </c>
      <c r="D20" s="12">
        <f>ROUNDDOWN((C20*ROUNDDOWN(90/E20,0))*H20,0)</f>
        <v>1824</v>
      </c>
      <c r="E20" s="12">
        <v>10.83</v>
      </c>
      <c r="F20" s="13">
        <v>4</v>
      </c>
      <c r="G20" s="12">
        <v>3</v>
      </c>
      <c r="H20" s="12">
        <v>1</v>
      </c>
      <c r="I20" t="s" s="14">
        <v>69</v>
      </c>
      <c r="J20" s="12">
        <v>45</v>
      </c>
      <c r="K20" t="s" s="15">
        <v>20</v>
      </c>
    </row>
    <row r="21" ht="20.05" customHeight="1">
      <c r="A21" t="s" s="10">
        <v>74</v>
      </c>
      <c r="B21" t="s" s="25">
        <v>73</v>
      </c>
      <c r="C21" s="12">
        <f>70*3</f>
        <v>210</v>
      </c>
      <c r="D21" s="12">
        <f>ROUNDDOWN((C21*ROUNDDOWN(90/E21,0))*H21,0)</f>
        <v>1680</v>
      </c>
      <c r="E21" s="12">
        <v>11.06</v>
      </c>
      <c r="F21" s="13">
        <v>4</v>
      </c>
      <c r="G21" s="12">
        <v>2</v>
      </c>
      <c r="H21" s="12">
        <v>1</v>
      </c>
      <c r="I21" t="s" s="14">
        <v>69</v>
      </c>
      <c r="J21" s="12">
        <v>45</v>
      </c>
      <c r="K21" t="s" s="15">
        <v>20</v>
      </c>
    </row>
    <row r="22" ht="20.05" customHeight="1">
      <c r="A22" t="s" s="10">
        <v>74</v>
      </c>
      <c r="B22" t="s" s="25">
        <v>73</v>
      </c>
      <c r="C22" s="12">
        <f>66*3</f>
        <v>198</v>
      </c>
      <c r="D22" s="12">
        <f>ROUNDDOWN((C22*ROUNDDOWN(90/E22,0))*H22,0)</f>
        <v>1386</v>
      </c>
      <c r="E22" s="12">
        <v>11.29</v>
      </c>
      <c r="F22" s="13">
        <v>4</v>
      </c>
      <c r="G22" s="12">
        <v>1</v>
      </c>
      <c r="H22" s="12">
        <v>1</v>
      </c>
      <c r="I22" t="s" s="14">
        <v>69</v>
      </c>
      <c r="J22" s="12">
        <v>45</v>
      </c>
      <c r="K22" t="s" s="15">
        <v>20</v>
      </c>
    </row>
    <row r="23" ht="20.05" customHeight="1">
      <c r="A23" t="s" s="10">
        <v>74</v>
      </c>
      <c r="B23" t="s" s="25">
        <v>73</v>
      </c>
      <c r="C23" s="12">
        <f>60*3</f>
        <v>180</v>
      </c>
      <c r="D23" s="12">
        <f>ROUNDDOWN((C23*ROUNDDOWN(90/E23,0))*H23,0)</f>
        <v>1260</v>
      </c>
      <c r="E23" s="12">
        <v>11.53</v>
      </c>
      <c r="F23" s="13">
        <v>4</v>
      </c>
      <c r="G23" s="12">
        <v>0</v>
      </c>
      <c r="H23" s="12">
        <v>1</v>
      </c>
      <c r="I23" t="s" s="14">
        <v>69</v>
      </c>
      <c r="J23" s="12">
        <v>45</v>
      </c>
      <c r="K23" t="s" s="15">
        <v>20</v>
      </c>
    </row>
    <row r="24" ht="20.05" customHeight="1">
      <c r="A24" t="s" s="10">
        <v>75</v>
      </c>
      <c r="B24" s="24"/>
      <c r="C24" s="12">
        <f t="shared" si="20"/>
        <v>354</v>
      </c>
      <c r="D24" s="12">
        <f>ROUNDDOWN((C24*ROUNDDOWN(90/E24,0))*H24,0)</f>
        <v>1062</v>
      </c>
      <c r="E24" s="12">
        <v>26.42</v>
      </c>
      <c r="F24" s="13">
        <v>3</v>
      </c>
      <c r="G24" s="12">
        <v>6</v>
      </c>
      <c r="H24" s="12">
        <v>1</v>
      </c>
      <c r="I24" t="s" s="14">
        <v>27</v>
      </c>
      <c r="J24" s="12">
        <v>25</v>
      </c>
      <c r="K24" t="s" s="15">
        <v>20</v>
      </c>
    </row>
    <row r="25" ht="20.05" customHeight="1">
      <c r="A25" t="s" s="10">
        <v>75</v>
      </c>
      <c r="B25" s="24"/>
      <c r="C25" s="12">
        <f>98*3</f>
        <v>294</v>
      </c>
      <c r="D25" s="12">
        <f>ROUNDDOWN((C25*ROUNDDOWN(90/E25,0))*H25,0)</f>
        <v>882</v>
      </c>
      <c r="E25" s="12">
        <v>26.34</v>
      </c>
      <c r="F25" s="13">
        <v>3</v>
      </c>
      <c r="G25" s="12">
        <v>4</v>
      </c>
      <c r="H25" s="12">
        <v>1</v>
      </c>
      <c r="I25" t="s" s="14">
        <v>27</v>
      </c>
      <c r="J25" s="12">
        <v>25</v>
      </c>
      <c r="K25" t="s" s="15">
        <v>20</v>
      </c>
    </row>
    <row r="26" ht="20.05" customHeight="1">
      <c r="A26" t="s" s="10">
        <v>76</v>
      </c>
      <c r="B26" s="24"/>
      <c r="C26" s="12">
        <f>98*2</f>
        <v>196</v>
      </c>
      <c r="D26" s="12">
        <f>ROUNDDOWN((C26*ROUNDDOWN(90/E26,0))*H26,0)</f>
        <v>784</v>
      </c>
      <c r="E26" s="12">
        <v>22.2</v>
      </c>
      <c r="F26" s="13">
        <v>3</v>
      </c>
      <c r="G26" s="12">
        <v>6</v>
      </c>
      <c r="H26" s="12">
        <v>1</v>
      </c>
      <c r="I26" t="s" s="14">
        <v>22</v>
      </c>
      <c r="J26" s="12">
        <v>25</v>
      </c>
      <c r="K26" t="s" s="15">
        <v>20</v>
      </c>
    </row>
    <row r="27" ht="20.05" customHeight="1">
      <c r="A27" t="s" s="10">
        <v>63</v>
      </c>
      <c r="B27" s="24"/>
      <c r="C27" s="12">
        <f>50*4</f>
        <v>200</v>
      </c>
      <c r="D27" s="12">
        <f>ROUNDDOWN((C27*ROUNDDOWN(90/E27,0))*H27,0)</f>
        <v>400</v>
      </c>
      <c r="E27" s="12">
        <v>37.72</v>
      </c>
      <c r="F27" s="13">
        <v>3</v>
      </c>
      <c r="G27" s="12">
        <v>1</v>
      </c>
      <c r="H27" s="12">
        <v>1</v>
      </c>
      <c r="I27" t="s" s="14">
        <v>22</v>
      </c>
      <c r="J27" s="12">
        <v>25</v>
      </c>
      <c r="K27" t="s" s="15">
        <v>20</v>
      </c>
    </row>
    <row r="28" ht="20.05" customHeight="1">
      <c r="A28" t="s" s="10">
        <v>77</v>
      </c>
      <c r="B28" s="24"/>
      <c r="C28" s="12">
        <f t="shared" si="14"/>
        <v>116</v>
      </c>
      <c r="D28" s="12">
        <f>ROUNDDOWN((C28*ROUNDDOWN(90/E28,0))*H28,0)</f>
        <v>348</v>
      </c>
      <c r="E28" s="12">
        <v>27.22</v>
      </c>
      <c r="F28" s="13">
        <v>3</v>
      </c>
      <c r="G28" s="12">
        <v>0</v>
      </c>
      <c r="H28" s="12">
        <v>1</v>
      </c>
      <c r="I28" t="s" s="14">
        <v>19</v>
      </c>
      <c r="J28" s="12">
        <v>25</v>
      </c>
      <c r="K28" t="s" s="15">
        <v>20</v>
      </c>
    </row>
    <row r="29" ht="20.05" customHeight="1">
      <c r="A29" t="s" s="10">
        <v>78</v>
      </c>
      <c r="B29" t="s" s="25">
        <v>73</v>
      </c>
      <c r="C29" s="12">
        <f>55*6</f>
        <v>330</v>
      </c>
      <c r="D29" s="12">
        <f>ROUNDDOWN((C29*ROUNDDOWN(90/E29,0))*H29,0)</f>
        <v>3300</v>
      </c>
      <c r="E29" s="12">
        <v>8.98</v>
      </c>
      <c r="F29" s="13">
        <v>3</v>
      </c>
      <c r="G29" s="12">
        <v>10</v>
      </c>
      <c r="H29" s="12">
        <v>1</v>
      </c>
      <c r="I29" t="s" s="14">
        <v>25</v>
      </c>
      <c r="J29" s="12">
        <v>25</v>
      </c>
      <c r="K29" t="s" s="15">
        <v>20</v>
      </c>
    </row>
    <row r="30" ht="20.05" customHeight="1">
      <c r="A30" t="s" s="10">
        <v>78</v>
      </c>
      <c r="B30" t="s" s="25">
        <v>73</v>
      </c>
      <c r="C30" s="12">
        <f>53*6</f>
        <v>318</v>
      </c>
      <c r="D30" s="12">
        <f>ROUNDDOWN((C30*ROUNDDOWN(90/E30,0))*H30,0)</f>
        <v>2862</v>
      </c>
      <c r="E30" s="12">
        <v>9.210000000000001</v>
      </c>
      <c r="F30" s="13">
        <v>3</v>
      </c>
      <c r="G30" s="12">
        <v>9</v>
      </c>
      <c r="H30" s="12">
        <v>1</v>
      </c>
      <c r="I30" t="s" s="14">
        <v>25</v>
      </c>
      <c r="J30" s="12">
        <v>25</v>
      </c>
      <c r="K30" t="s" s="15">
        <v>20</v>
      </c>
    </row>
    <row r="31" ht="20.05" customHeight="1">
      <c r="A31" t="s" s="10">
        <v>78</v>
      </c>
      <c r="B31" t="s" s="25">
        <v>73</v>
      </c>
      <c r="C31" s="12">
        <f>51*6</f>
        <v>306</v>
      </c>
      <c r="D31" s="12">
        <f>ROUNDDOWN((C31*ROUNDDOWN(90/E31,0))*H31,0)</f>
        <v>2754</v>
      </c>
      <c r="E31" s="12">
        <v>9.44</v>
      </c>
      <c r="F31" s="13">
        <v>3</v>
      </c>
      <c r="G31" s="12">
        <v>8</v>
      </c>
      <c r="H31" s="12">
        <v>1</v>
      </c>
      <c r="I31" t="s" s="14">
        <v>25</v>
      </c>
      <c r="J31" s="12">
        <v>25</v>
      </c>
      <c r="K31" t="s" s="15">
        <v>20</v>
      </c>
    </row>
    <row r="32" ht="20.05" customHeight="1">
      <c r="A32" t="s" s="10">
        <v>78</v>
      </c>
      <c r="B32" t="s" s="25">
        <v>73</v>
      </c>
      <c r="C32" s="12">
        <f>49*6</f>
        <v>294</v>
      </c>
      <c r="D32" s="12">
        <f>ROUNDDOWN((C32*ROUNDDOWN(90/E32,0))*H32,0)</f>
        <v>2646</v>
      </c>
      <c r="E32" s="12">
        <v>9.68</v>
      </c>
      <c r="F32" s="13">
        <v>3</v>
      </c>
      <c r="G32" s="12">
        <v>7</v>
      </c>
      <c r="H32" s="12">
        <v>1</v>
      </c>
      <c r="I32" t="s" s="14">
        <v>25</v>
      </c>
      <c r="J32" s="12">
        <v>25</v>
      </c>
      <c r="K32" t="s" s="15">
        <v>20</v>
      </c>
    </row>
    <row r="33" ht="20.05" customHeight="1">
      <c r="A33" t="s" s="10">
        <v>78</v>
      </c>
      <c r="B33" t="s" s="25">
        <v>73</v>
      </c>
      <c r="C33" s="12">
        <f>47*6</f>
        <v>282</v>
      </c>
      <c r="D33" s="12">
        <f>ROUNDDOWN((C33*ROUNDDOWN(90/E33,0))*H33,0)</f>
        <v>2538</v>
      </c>
      <c r="E33" s="12">
        <v>9.91</v>
      </c>
      <c r="F33" s="13">
        <v>3</v>
      </c>
      <c r="G33" s="12">
        <v>6</v>
      </c>
      <c r="H33" s="12">
        <v>1</v>
      </c>
      <c r="I33" t="s" s="14">
        <v>25</v>
      </c>
      <c r="J33" s="12">
        <v>25</v>
      </c>
      <c r="K33" t="s" s="15">
        <v>20</v>
      </c>
    </row>
    <row r="34" ht="20.05" customHeight="1">
      <c r="A34" t="s" s="10">
        <v>78</v>
      </c>
      <c r="B34" t="s" s="25">
        <v>73</v>
      </c>
      <c r="C34" s="12">
        <f>45*6</f>
        <v>270</v>
      </c>
      <c r="D34" s="12">
        <f>ROUNDDOWN((C34*ROUNDDOWN(90/E34,0))*H34,0)</f>
        <v>2160</v>
      </c>
      <c r="E34" s="12">
        <v>10.14</v>
      </c>
      <c r="F34" s="13">
        <v>3</v>
      </c>
      <c r="G34" s="12">
        <v>5</v>
      </c>
      <c r="H34" s="12">
        <v>1</v>
      </c>
      <c r="I34" t="s" s="14">
        <v>25</v>
      </c>
      <c r="J34" s="12">
        <v>25</v>
      </c>
      <c r="K34" t="s" s="15">
        <v>20</v>
      </c>
    </row>
    <row r="35" ht="20.05" customHeight="1">
      <c r="A35" t="s" s="10">
        <v>78</v>
      </c>
      <c r="B35" t="s" s="25">
        <v>73</v>
      </c>
      <c r="C35" s="12">
        <f>43*6</f>
        <v>258</v>
      </c>
      <c r="D35" s="12">
        <f>ROUNDDOWN((C35*ROUNDDOWN(90/E35,0))*H35,0)</f>
        <v>2064</v>
      </c>
      <c r="E35" s="12">
        <v>10.38</v>
      </c>
      <c r="F35" s="13">
        <v>3</v>
      </c>
      <c r="G35" s="12">
        <v>4</v>
      </c>
      <c r="H35" s="12">
        <v>1</v>
      </c>
      <c r="I35" t="s" s="14">
        <v>25</v>
      </c>
      <c r="J35" s="12">
        <v>25</v>
      </c>
      <c r="K35" t="s" s="15">
        <v>20</v>
      </c>
    </row>
    <row r="36" ht="20.05" customHeight="1">
      <c r="A36" t="s" s="10">
        <v>78</v>
      </c>
      <c r="B36" t="s" s="25">
        <v>73</v>
      </c>
      <c r="C36" s="12">
        <f>41*6</f>
        <v>246</v>
      </c>
      <c r="D36" s="12">
        <f>ROUNDDOWN((C36*ROUNDDOWN(90/E36,0))*H36,0)</f>
        <v>1968</v>
      </c>
      <c r="E36" s="12">
        <v>10.61</v>
      </c>
      <c r="F36" s="13">
        <v>3</v>
      </c>
      <c r="G36" s="12">
        <v>3</v>
      </c>
      <c r="H36" s="12">
        <v>1</v>
      </c>
      <c r="I36" t="s" s="14">
        <v>25</v>
      </c>
      <c r="J36" s="12">
        <v>25</v>
      </c>
      <c r="K36" t="s" s="15">
        <v>20</v>
      </c>
    </row>
    <row r="37" ht="20.05" customHeight="1">
      <c r="A37" t="s" s="10">
        <v>78</v>
      </c>
      <c r="B37" t="s" s="25">
        <v>73</v>
      </c>
      <c r="C37" s="12">
        <f>39*6</f>
        <v>234</v>
      </c>
      <c r="D37" s="12">
        <f>ROUNDDOWN((C37*ROUNDDOWN(90/E37,0))*H37,0)</f>
        <v>1872</v>
      </c>
      <c r="E37" s="12">
        <v>10.84</v>
      </c>
      <c r="F37" s="13">
        <v>3</v>
      </c>
      <c r="G37" s="12">
        <v>2</v>
      </c>
      <c r="H37" s="12">
        <v>1</v>
      </c>
      <c r="I37" t="s" s="14">
        <v>25</v>
      </c>
      <c r="J37" s="12">
        <v>25</v>
      </c>
      <c r="K37" t="s" s="15">
        <v>20</v>
      </c>
    </row>
    <row r="38" ht="20.05" customHeight="1">
      <c r="A38" t="s" s="10">
        <v>78</v>
      </c>
      <c r="B38" t="s" s="25">
        <v>73</v>
      </c>
      <c r="C38" s="12">
        <f>37*6</f>
        <v>222</v>
      </c>
      <c r="D38" s="12">
        <f>ROUNDDOWN((C38*ROUNDDOWN(90/E38,0))*H38,0)</f>
        <v>1776</v>
      </c>
      <c r="E38" s="12">
        <v>11.07</v>
      </c>
      <c r="F38" s="13">
        <v>3</v>
      </c>
      <c r="G38" s="12">
        <v>1</v>
      </c>
      <c r="H38" s="12">
        <v>1</v>
      </c>
      <c r="I38" t="s" s="14">
        <v>25</v>
      </c>
      <c r="J38" s="12">
        <v>25</v>
      </c>
      <c r="K38" t="s" s="15">
        <v>20</v>
      </c>
    </row>
    <row r="39" ht="20.05" customHeight="1">
      <c r="A39" t="s" s="10">
        <v>78</v>
      </c>
      <c r="B39" t="s" s="25">
        <v>73</v>
      </c>
      <c r="C39" s="12">
        <f t="shared" si="2"/>
        <v>210</v>
      </c>
      <c r="D39" s="12">
        <f>ROUNDDOWN((C39*ROUNDDOWN(90/E39,0))*H39,0)</f>
        <v>1470</v>
      </c>
      <c r="E39" s="12">
        <v>11.31</v>
      </c>
      <c r="F39" s="13">
        <v>3</v>
      </c>
      <c r="G39" s="12">
        <v>0</v>
      </c>
      <c r="H39" s="12">
        <v>1</v>
      </c>
      <c r="I39" t="s" s="14">
        <v>25</v>
      </c>
      <c r="J39" s="12">
        <v>25</v>
      </c>
      <c r="K39" t="s" s="15">
        <v>20</v>
      </c>
    </row>
    <row r="40" ht="20.05" customHeight="1">
      <c r="A40" t="s" s="10">
        <v>79</v>
      </c>
      <c r="B40" s="24"/>
      <c r="C40" s="12">
        <f>54*3</f>
        <v>162</v>
      </c>
      <c r="D40" s="12">
        <f>ROUNDDOWN((C40*ROUNDDOWN(90/E40,0))*H40,0)</f>
        <v>324</v>
      </c>
      <c r="E40" s="12">
        <v>30.59</v>
      </c>
      <c r="F40" s="13">
        <v>2</v>
      </c>
      <c r="G40" s="12">
        <v>0</v>
      </c>
      <c r="H40" s="12">
        <v>1</v>
      </c>
      <c r="I40" t="s" s="14">
        <v>69</v>
      </c>
      <c r="J40" s="12">
        <v>12</v>
      </c>
      <c r="K40" t="s" s="15">
        <v>20</v>
      </c>
    </row>
  </sheetData>
  <mergeCells count="1">
    <mergeCell ref="A1:K1"/>
  </mergeCells>
  <conditionalFormatting sqref="B3:B40">
    <cfRule type="cellIs" dxfId="30" priority="1" operator="equal" stopIfTrue="1">
      <formula>"Y"</formula>
    </cfRule>
  </conditionalFormatting>
  <conditionalFormatting sqref="F3:F40">
    <cfRule type="cellIs" dxfId="31" priority="1" operator="equal" stopIfTrue="1">
      <formula>5</formula>
    </cfRule>
    <cfRule type="cellIs" dxfId="32" priority="2" operator="equal" stopIfTrue="1">
      <formula>4</formula>
    </cfRule>
    <cfRule type="cellIs" dxfId="33" priority="3" operator="equal" stopIfTrue="1">
      <formula>3</formula>
    </cfRule>
    <cfRule type="cellIs" dxfId="34" priority="4" operator="equal" stopIfTrue="1">
      <formula>2</formula>
    </cfRule>
  </conditionalFormatting>
  <conditionalFormatting sqref="I3:I6">
    <cfRule type="cellIs" dxfId="35" priority="1" operator="equal" stopIfTrue="1">
      <formula>"Royal Navy"</formula>
    </cfRule>
    <cfRule type="cellIs" dxfId="36" priority="2" operator="equal" stopIfTrue="1">
      <formula>"Sakura Empire"</formula>
    </cfRule>
    <cfRule type="cellIs" dxfId="37" priority="3" operator="equal" stopIfTrue="1">
      <formula>"Iron Blood"</formula>
    </cfRule>
    <cfRule type="cellIs" dxfId="38" priority="4" operator="equal" stopIfTrue="1">
      <formula>"Eagle Union"</formula>
    </cfRule>
    <cfRule type="cellIs" dxfId="39" priority="5" operator="equal" stopIfTrue="1">
      <formula>"Sardegna Empire"</formula>
    </cfRule>
    <cfRule type="cellIs" dxfId="40" priority="6" operator="equal" stopIfTrue="1">
      <formula>"Northern Parliament"</formula>
    </cfRule>
  </conditionalFormatting>
  <conditionalFormatting sqref="I7:I40">
    <cfRule type="cellIs" dxfId="41" priority="1" operator="equal" stopIfTrue="1">
      <formula>"Royal Navy"</formula>
    </cfRule>
    <cfRule type="cellIs" dxfId="42" priority="2" operator="equal" stopIfTrue="1">
      <formula>"Sakura Empire"</formula>
    </cfRule>
    <cfRule type="cellIs" dxfId="43" priority="3" operator="equal" stopIfTrue="1">
      <formula>"Iron Blood"</formula>
    </cfRule>
    <cfRule type="cellIs" dxfId="44" priority="4" operator="equal" stopIfTrue="1">
      <formula>"Eagle Union"</formula>
    </cfRule>
    <cfRule type="cellIs" dxfId="45" priority="5" operator="equal" stopIfTrue="1">
      <formula>"Sardegna Empire"</formula>
    </cfRule>
    <cfRule type="cellIs" dxfId="46" priority="6" operator="equal" stopIfTrue="1">
      <formula>"Northern Parliament"</formula>
    </cfRule>
    <cfRule type="cellIs" dxfId="47" priority="7" operator="equal" stopIfTrue="1">
      <formula>"Iris Libre"</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2:K25"/>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44.6172" style="26" customWidth="1"/>
    <col min="2" max="2" width="5.61719" style="26" customWidth="1"/>
    <col min="3" max="3" width="6.40625" style="26" customWidth="1"/>
    <col min="4" max="4" width="9.40625" style="26" customWidth="1"/>
    <col min="5" max="5" width="4.90625" style="26" customWidth="1"/>
    <col min="6" max="6" width="5.07812" style="26" customWidth="1"/>
    <col min="7" max="7" width="4.72656" style="26" customWidth="1"/>
    <col min="8" max="8" width="16.5781" style="26" customWidth="1"/>
    <col min="9" max="9" width="8.57812" style="26" customWidth="1"/>
    <col min="10" max="10" width="8.90625" style="26" customWidth="1"/>
    <col min="11" max="11" width="23.0781" style="26" customWidth="1"/>
    <col min="12" max="16384" width="16.3516" style="26" customWidth="1"/>
  </cols>
  <sheetData>
    <row r="1" ht="27.65" customHeight="1">
      <c r="A1" t="s" s="2">
        <v>80</v>
      </c>
      <c r="B1" s="2"/>
      <c r="C1" s="2"/>
      <c r="D1" s="2"/>
      <c r="E1" s="2"/>
      <c r="F1" s="2"/>
      <c r="G1" s="2"/>
      <c r="H1" s="2"/>
      <c r="I1" s="2"/>
      <c r="J1" s="2"/>
      <c r="K1" s="2"/>
    </row>
    <row r="2" ht="20.25" customHeight="1">
      <c r="A2" t="s" s="3">
        <v>1</v>
      </c>
      <c r="B2" t="s" s="3">
        <v>58</v>
      </c>
      <c r="C2" t="s" s="3">
        <v>3</v>
      </c>
      <c r="D2" t="s" s="3">
        <v>5</v>
      </c>
      <c r="E2" t="s" s="3">
        <v>6</v>
      </c>
      <c r="F2" t="s" s="3">
        <v>7</v>
      </c>
      <c r="G2" t="s" s="3">
        <v>8</v>
      </c>
      <c r="H2" t="s" s="3">
        <v>15</v>
      </c>
      <c r="I2" t="s" s="3">
        <v>59</v>
      </c>
      <c r="J2" t="s" s="3">
        <v>81</v>
      </c>
      <c r="K2" t="s" s="3">
        <v>17</v>
      </c>
    </row>
    <row r="3" ht="20.25" customHeight="1">
      <c r="A3" t="s" s="4">
        <v>82</v>
      </c>
      <c r="B3" s="5">
        <f>17*4</f>
        <v>68</v>
      </c>
      <c r="C3" s="6">
        <f>ROUNDDOWN((B3*ROUNDDOWN(90/D3,0))*G3,0)</f>
        <v>1768</v>
      </c>
      <c r="D3" s="6">
        <v>3.43</v>
      </c>
      <c r="E3" s="7">
        <v>5</v>
      </c>
      <c r="F3" s="6">
        <v>0</v>
      </c>
      <c r="G3" s="6">
        <v>1</v>
      </c>
      <c r="H3" t="s" s="8">
        <v>22</v>
      </c>
      <c r="I3" s="6">
        <v>65</v>
      </c>
      <c r="J3" s="27"/>
      <c r="K3" t="s" s="9">
        <v>20</v>
      </c>
    </row>
    <row r="4" ht="20.05" customHeight="1">
      <c r="A4" t="s" s="10">
        <v>83</v>
      </c>
      <c r="B4" s="11">
        <f>20*6</f>
        <v>120</v>
      </c>
      <c r="C4" s="12">
        <f>ROUNDDOWN((B4*ROUNDDOWN(90/D4,0))*G4,0)</f>
        <v>2040</v>
      </c>
      <c r="D4" s="12">
        <v>5.09</v>
      </c>
      <c r="E4" s="13">
        <v>4</v>
      </c>
      <c r="F4" s="12">
        <v>10</v>
      </c>
      <c r="G4" s="12">
        <v>1</v>
      </c>
      <c r="H4" t="s" s="14">
        <v>19</v>
      </c>
      <c r="I4" s="12">
        <v>30</v>
      </c>
      <c r="J4" s="12">
        <v>15</v>
      </c>
      <c r="K4" t="s" s="15">
        <v>84</v>
      </c>
    </row>
    <row r="5" ht="20.05" customHeight="1">
      <c r="A5" t="s" s="10">
        <v>85</v>
      </c>
      <c r="B5" s="11">
        <f>22*6</f>
        <v>132</v>
      </c>
      <c r="C5" s="12">
        <f>ROUNDDOWN((B5*ROUNDDOWN(90/D5,0))*G5,0)</f>
        <v>2508</v>
      </c>
      <c r="D5" s="12">
        <v>4.58</v>
      </c>
      <c r="E5" s="13">
        <v>4</v>
      </c>
      <c r="F5" s="12">
        <v>10</v>
      </c>
      <c r="G5" s="12">
        <v>1</v>
      </c>
      <c r="H5" t="s" s="14">
        <v>19</v>
      </c>
      <c r="I5" s="12">
        <v>45</v>
      </c>
      <c r="J5" s="28"/>
      <c r="K5" t="s" s="15">
        <v>20</v>
      </c>
    </row>
    <row r="6" ht="20.05" customHeight="1">
      <c r="A6" t="s" s="10">
        <v>86</v>
      </c>
      <c r="B6" s="11">
        <f>15*4</f>
        <v>60</v>
      </c>
      <c r="C6" s="12">
        <f>ROUNDDOWN((B6*ROUNDDOWN(90/D6,0))*G6,0)</f>
        <v>1260</v>
      </c>
      <c r="D6" s="12">
        <v>4.12</v>
      </c>
      <c r="E6" s="13">
        <v>4</v>
      </c>
      <c r="F6" s="12">
        <v>0</v>
      </c>
      <c r="G6" s="12">
        <v>1</v>
      </c>
      <c r="H6" t="s" s="14">
        <v>25</v>
      </c>
      <c r="I6" s="12">
        <v>45</v>
      </c>
      <c r="J6" s="28"/>
      <c r="K6" t="s" s="15">
        <v>87</v>
      </c>
    </row>
    <row r="7" ht="20.05" customHeight="1">
      <c r="A7" t="s" s="10">
        <v>88</v>
      </c>
      <c r="B7" s="11">
        <f t="shared" si="8" ref="B7:B17">9*6</f>
        <v>54</v>
      </c>
      <c r="C7" s="12">
        <f>ROUNDDOWN((B7*ROUNDDOWN(90/D7,0))*G7,0)</f>
        <v>1026</v>
      </c>
      <c r="D7" s="12">
        <v>4.56</v>
      </c>
      <c r="E7" s="13">
        <v>4</v>
      </c>
      <c r="F7" s="12">
        <v>10</v>
      </c>
      <c r="G7" s="12">
        <v>1</v>
      </c>
      <c r="H7" t="s" s="14">
        <v>66</v>
      </c>
      <c r="I7" s="12">
        <v>45</v>
      </c>
      <c r="J7" s="28"/>
      <c r="K7" t="s" s="15">
        <v>20</v>
      </c>
    </row>
    <row r="8" ht="20.05" customHeight="1">
      <c r="A8" t="s" s="10">
        <v>88</v>
      </c>
      <c r="B8" s="11">
        <f t="shared" si="8"/>
        <v>54</v>
      </c>
      <c r="C8" s="12">
        <f>ROUNDDOWN((B8*ROUNDDOWN(90/D8,0))*G8,0)</f>
        <v>1026</v>
      </c>
      <c r="D8" s="12">
        <v>4.56</v>
      </c>
      <c r="E8" s="13">
        <v>4</v>
      </c>
      <c r="F8" s="12">
        <v>9</v>
      </c>
      <c r="G8" s="12">
        <v>1</v>
      </c>
      <c r="H8" t="s" s="14">
        <v>66</v>
      </c>
      <c r="I8" s="12">
        <v>45</v>
      </c>
      <c r="J8" s="28"/>
      <c r="K8" t="s" s="15">
        <v>20</v>
      </c>
    </row>
    <row r="9" ht="20.05" customHeight="1">
      <c r="A9" t="s" s="10">
        <v>88</v>
      </c>
      <c r="B9" s="11">
        <f>16*6</f>
        <v>96</v>
      </c>
      <c r="C9" s="12">
        <f>ROUNDDOWN((B9*ROUNDDOWN(90/D9,0))*G9,0)</f>
        <v>2400</v>
      </c>
      <c r="D9" s="12">
        <v>3.58</v>
      </c>
      <c r="E9" s="13">
        <v>4</v>
      </c>
      <c r="F9" s="12">
        <v>8</v>
      </c>
      <c r="G9" s="12">
        <v>1</v>
      </c>
      <c r="H9" t="s" s="14">
        <v>66</v>
      </c>
      <c r="I9" s="12">
        <v>45</v>
      </c>
      <c r="J9" s="28"/>
      <c r="K9" t="s" s="15">
        <v>20</v>
      </c>
    </row>
    <row r="10" ht="20.05" customHeight="1">
      <c r="A10" t="s" s="10">
        <v>88</v>
      </c>
      <c r="B10" s="11">
        <f>15*6</f>
        <v>90</v>
      </c>
      <c r="C10" s="12">
        <f>ROUNDDOWN((B10*ROUNDDOWN(90/D10,0))*G10,0)</f>
        <v>2160</v>
      </c>
      <c r="D10" s="12">
        <v>3.62</v>
      </c>
      <c r="E10" s="13">
        <v>4</v>
      </c>
      <c r="F10" s="12">
        <v>7</v>
      </c>
      <c r="G10" s="12">
        <v>1</v>
      </c>
      <c r="H10" t="s" s="14">
        <v>66</v>
      </c>
      <c r="I10" s="12">
        <v>45</v>
      </c>
      <c r="J10" s="28"/>
      <c r="K10" t="s" s="15">
        <v>20</v>
      </c>
    </row>
    <row r="11" ht="20.05" customHeight="1">
      <c r="A11" t="s" s="10">
        <v>88</v>
      </c>
      <c r="B11" s="11">
        <f>14*6</f>
        <v>84</v>
      </c>
      <c r="C11" s="28">
        <f>ROUNDDOWN((B11*ROUNDDOWN(90/D11,0))*G11,0)</f>
      </c>
      <c r="D11" s="28"/>
      <c r="E11" s="13">
        <v>4</v>
      </c>
      <c r="F11" s="12">
        <v>6</v>
      </c>
      <c r="G11" s="12">
        <v>1</v>
      </c>
      <c r="H11" t="s" s="14">
        <v>66</v>
      </c>
      <c r="I11" s="12">
        <v>45</v>
      </c>
      <c r="J11" s="28"/>
      <c r="K11" t="s" s="15">
        <v>20</v>
      </c>
    </row>
    <row r="12" ht="20.05" customHeight="1">
      <c r="A12" t="s" s="10">
        <v>88</v>
      </c>
      <c r="B12" s="11">
        <f>13*6</f>
        <v>78</v>
      </c>
      <c r="C12" s="28">
        <f>ROUNDDOWN((B12*ROUNDDOWN(90/D12,0))*G12,0)</f>
      </c>
      <c r="D12" s="28"/>
      <c r="E12" s="13">
        <v>4</v>
      </c>
      <c r="F12" s="12">
        <v>5</v>
      </c>
      <c r="G12" s="12">
        <v>1</v>
      </c>
      <c r="H12" t="s" s="14">
        <v>66</v>
      </c>
      <c r="I12" s="12">
        <v>45</v>
      </c>
      <c r="J12" s="28"/>
      <c r="K12" t="s" s="15">
        <v>20</v>
      </c>
    </row>
    <row r="13" ht="20.05" customHeight="1">
      <c r="A13" t="s" s="10">
        <v>88</v>
      </c>
      <c r="B13" s="11">
        <f>12*6</f>
        <v>72</v>
      </c>
      <c r="C13" s="28">
        <f>ROUNDDOWN((B13*ROUNDDOWN(90/D13,0))*G13,0)</f>
      </c>
      <c r="D13" s="28"/>
      <c r="E13" s="13">
        <v>4</v>
      </c>
      <c r="F13" s="12">
        <v>4</v>
      </c>
      <c r="G13" s="12">
        <v>1</v>
      </c>
      <c r="H13" t="s" s="14">
        <v>66</v>
      </c>
      <c r="I13" s="12">
        <v>45</v>
      </c>
      <c r="J13" s="28"/>
      <c r="K13" t="s" s="15">
        <v>20</v>
      </c>
    </row>
    <row r="14" ht="20.05" customHeight="1">
      <c r="A14" t="s" s="10">
        <v>88</v>
      </c>
      <c r="B14" s="11">
        <f>11*6</f>
        <v>66</v>
      </c>
      <c r="C14" s="28">
        <f>ROUNDDOWN((B14*ROUNDDOWN(90/D14,0))*G14,0)</f>
      </c>
      <c r="D14" s="28"/>
      <c r="E14" s="13">
        <v>4</v>
      </c>
      <c r="F14" s="12">
        <v>3</v>
      </c>
      <c r="G14" s="12">
        <v>1</v>
      </c>
      <c r="H14" t="s" s="14">
        <v>66</v>
      </c>
      <c r="I14" s="12">
        <v>45</v>
      </c>
      <c r="J14" s="28"/>
      <c r="K14" t="s" s="15">
        <v>20</v>
      </c>
    </row>
    <row r="15" ht="20.05" customHeight="1">
      <c r="A15" t="s" s="10">
        <v>88</v>
      </c>
      <c r="B15" s="11">
        <f>10*6</f>
        <v>60</v>
      </c>
      <c r="C15" s="28">
        <f>ROUNDDOWN((B15*ROUNDDOWN(90/D15,0))*G15,0)</f>
      </c>
      <c r="D15" s="28"/>
      <c r="E15" s="13">
        <v>4</v>
      </c>
      <c r="F15" s="12">
        <v>2</v>
      </c>
      <c r="G15" s="12">
        <v>1</v>
      </c>
      <c r="H15" t="s" s="14">
        <v>66</v>
      </c>
      <c r="I15" s="12">
        <v>45</v>
      </c>
      <c r="J15" s="28"/>
      <c r="K15" t="s" s="15">
        <v>20</v>
      </c>
    </row>
    <row r="16" ht="20.05" customHeight="1">
      <c r="A16" t="s" s="10">
        <v>88</v>
      </c>
      <c r="B16" s="11">
        <f t="shared" si="8"/>
        <v>54</v>
      </c>
      <c r="C16" s="28">
        <f>ROUNDDOWN((B16*ROUNDDOWN(90/D16,0))*G16,0)</f>
      </c>
      <c r="D16" s="28"/>
      <c r="E16" s="13">
        <v>4</v>
      </c>
      <c r="F16" s="12">
        <v>1</v>
      </c>
      <c r="G16" s="12">
        <v>1</v>
      </c>
      <c r="H16" t="s" s="14">
        <v>66</v>
      </c>
      <c r="I16" s="12">
        <v>45</v>
      </c>
      <c r="J16" s="28"/>
      <c r="K16" t="s" s="15">
        <v>20</v>
      </c>
    </row>
    <row r="17" ht="20.05" customHeight="1">
      <c r="A17" t="s" s="10">
        <v>88</v>
      </c>
      <c r="B17" s="11">
        <f t="shared" si="8"/>
        <v>54</v>
      </c>
      <c r="C17" s="12">
        <f>ROUNDDOWN((B17*ROUNDDOWN(90/D17,0))*G17,0)</f>
        <v>1026</v>
      </c>
      <c r="D17" s="12">
        <v>4.56</v>
      </c>
      <c r="E17" s="13">
        <v>4</v>
      </c>
      <c r="F17" s="12">
        <v>0</v>
      </c>
      <c r="G17" s="12">
        <v>1</v>
      </c>
      <c r="H17" t="s" s="14">
        <v>66</v>
      </c>
      <c r="I17" s="12">
        <v>45</v>
      </c>
      <c r="J17" s="28"/>
      <c r="K17" t="s" s="15">
        <v>20</v>
      </c>
    </row>
    <row r="18" ht="20.05" customHeight="1">
      <c r="A18" t="s" s="10">
        <v>89</v>
      </c>
      <c r="B18" s="11">
        <f>28*4</f>
        <v>112</v>
      </c>
      <c r="C18" s="12">
        <f>ROUNDDOWN((B18*ROUNDDOWN(90/D18,0))*G18,0)</f>
        <v>1120</v>
      </c>
      <c r="D18" s="12">
        <v>8.58</v>
      </c>
      <c r="E18" s="13">
        <v>4</v>
      </c>
      <c r="F18" s="12">
        <v>0</v>
      </c>
      <c r="G18" s="12">
        <v>1</v>
      </c>
      <c r="H18" t="s" s="14">
        <v>19</v>
      </c>
      <c r="I18" s="12">
        <v>45</v>
      </c>
      <c r="J18" s="28"/>
      <c r="K18" t="s" s="15">
        <v>20</v>
      </c>
    </row>
    <row r="19" ht="20.05" customHeight="1">
      <c r="A19" s="29"/>
      <c r="B19" s="24"/>
      <c r="C19" s="28">
        <f>ROUNDDOWN((B19*ROUNDDOWN(90/D19,0))*G19,0)</f>
      </c>
      <c r="D19" s="28"/>
      <c r="E19" s="30"/>
      <c r="F19" s="28"/>
      <c r="G19" s="28"/>
      <c r="H19" s="30"/>
      <c r="I19" s="28"/>
      <c r="J19" s="28"/>
      <c r="K19" s="28"/>
    </row>
    <row r="20" ht="20.05" customHeight="1">
      <c r="A20" s="29"/>
      <c r="B20" s="24"/>
      <c r="C20" s="28">
        <f>ROUNDDOWN((B20*ROUNDDOWN(90/D20,0))*G20,0)</f>
      </c>
      <c r="D20" s="28"/>
      <c r="E20" s="30"/>
      <c r="F20" s="28"/>
      <c r="G20" s="28"/>
      <c r="H20" s="30"/>
      <c r="I20" s="28"/>
      <c r="J20" s="28"/>
      <c r="K20" s="28"/>
    </row>
    <row r="21" ht="20.05" customHeight="1">
      <c r="A21" s="29"/>
      <c r="B21" s="24"/>
      <c r="C21" s="28">
        <f>ROUNDDOWN((B21*ROUNDDOWN(90/D21,0))*G21,0)</f>
      </c>
      <c r="D21" s="28"/>
      <c r="E21" s="30"/>
      <c r="F21" s="28"/>
      <c r="G21" s="28"/>
      <c r="H21" s="30"/>
      <c r="I21" s="28"/>
      <c r="J21" s="28"/>
      <c r="K21" s="28"/>
    </row>
    <row r="22" ht="20.05" customHeight="1">
      <c r="A22" s="29"/>
      <c r="B22" s="24"/>
      <c r="C22" s="28">
        <f>ROUNDDOWN((B22*ROUNDDOWN(90/D22,0))*G22,0)</f>
      </c>
      <c r="D22" s="28"/>
      <c r="E22" s="30"/>
      <c r="F22" s="28"/>
      <c r="G22" s="28"/>
      <c r="H22" s="30"/>
      <c r="I22" s="28"/>
      <c r="J22" s="28"/>
      <c r="K22" s="28"/>
    </row>
    <row r="23" ht="20.05" customHeight="1">
      <c r="A23" s="29"/>
      <c r="B23" s="24"/>
      <c r="C23" s="28">
        <f>ROUNDDOWN((B23*ROUNDDOWN(90/D23,0))*G23,0)</f>
      </c>
      <c r="D23" s="28"/>
      <c r="E23" s="30"/>
      <c r="F23" s="28"/>
      <c r="G23" s="28"/>
      <c r="H23" s="30"/>
      <c r="I23" s="28"/>
      <c r="J23" s="28"/>
      <c r="K23" s="28"/>
    </row>
    <row r="24" ht="20.05" customHeight="1">
      <c r="A24" s="29"/>
      <c r="B24" s="24"/>
      <c r="C24" s="28">
        <f>ROUNDDOWN((B24*ROUNDDOWN(90/D24,0))*G24,0)</f>
      </c>
      <c r="D24" s="28"/>
      <c r="E24" s="30"/>
      <c r="F24" s="28"/>
      <c r="G24" s="28"/>
      <c r="H24" s="30"/>
      <c r="I24" s="28"/>
      <c r="J24" s="28"/>
      <c r="K24" s="28"/>
    </row>
    <row r="25" ht="20.05" customHeight="1">
      <c r="A25" s="29"/>
      <c r="B25" s="24"/>
      <c r="C25" s="28">
        <f>ROUNDDOWN((B25*ROUNDDOWN(90/D25,0))*G25,0)</f>
      </c>
      <c r="D25" s="28"/>
      <c r="E25" s="30"/>
      <c r="F25" s="28"/>
      <c r="G25" s="28"/>
      <c r="H25" s="30"/>
      <c r="I25" s="28"/>
      <c r="J25" s="28"/>
      <c r="K25" s="28"/>
    </row>
  </sheetData>
  <mergeCells count="1">
    <mergeCell ref="A1:K1"/>
  </mergeCells>
  <conditionalFormatting sqref="E3:E25">
    <cfRule type="cellIs" dxfId="48" priority="1" operator="equal" stopIfTrue="1">
      <formula>5</formula>
    </cfRule>
    <cfRule type="cellIs" dxfId="49" priority="2" operator="equal" stopIfTrue="1">
      <formula>4</formula>
    </cfRule>
    <cfRule type="cellIs" dxfId="50" priority="3" operator="equal" stopIfTrue="1">
      <formula>3</formula>
    </cfRule>
    <cfRule type="cellIs" dxfId="51" priority="4" operator="equal" stopIfTrue="1">
      <formula>2</formula>
    </cfRule>
  </conditionalFormatting>
  <conditionalFormatting sqref="H3:H25">
    <cfRule type="cellIs" dxfId="52" priority="1" operator="equal" stopIfTrue="1">
      <formula>"Royal Navy"</formula>
    </cfRule>
    <cfRule type="cellIs" dxfId="53" priority="2" operator="equal" stopIfTrue="1">
      <formula>"Sakura Empire"</formula>
    </cfRule>
    <cfRule type="cellIs" dxfId="54" priority="3" operator="equal" stopIfTrue="1">
      <formula>"Iron Blood"</formula>
    </cfRule>
    <cfRule type="cellIs" dxfId="55" priority="4" operator="equal" stopIfTrue="1">
      <formula>"Eagle Union"</formula>
    </cfRule>
    <cfRule type="cellIs" dxfId="56" priority="5" operator="equal" stopIfTrue="1">
      <formula>"Sardegna Empire"</formula>
    </cfRule>
    <cfRule type="cellIs" dxfId="57" priority="6" operator="equal" stopIfTrue="1">
      <formula>"Northern Parliament"</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2:K35"/>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41.2656" style="31" customWidth="1"/>
    <col min="2" max="2" width="5.61719" style="31" customWidth="1"/>
    <col min="3" max="3" width="15.4062" style="31" customWidth="1"/>
    <col min="4" max="4" width="9.40625" style="31" customWidth="1"/>
    <col min="5" max="5" width="4.90625" style="31" customWidth="1"/>
    <col min="6" max="6" width="5.07812" style="31" customWidth="1"/>
    <col min="7" max="7" width="4.72656" style="31" customWidth="1"/>
    <col min="8" max="8" width="16.5781" style="31" customWidth="1"/>
    <col min="9" max="9" width="8.90625" style="31" customWidth="1"/>
    <col min="10" max="10" width="10.2266" style="31" customWidth="1"/>
    <col min="11" max="11" width="5.22656" style="31" customWidth="1"/>
    <col min="12" max="16384" width="16.3516" style="31" customWidth="1"/>
  </cols>
  <sheetData>
    <row r="1" ht="27.65" customHeight="1">
      <c r="A1" t="s" s="2">
        <v>90</v>
      </c>
      <c r="B1" s="2"/>
      <c r="C1" s="2"/>
      <c r="D1" s="2"/>
      <c r="E1" s="2"/>
      <c r="F1" s="2"/>
      <c r="G1" s="2"/>
      <c r="H1" s="2"/>
      <c r="I1" s="2"/>
      <c r="J1" s="2"/>
      <c r="K1" s="2"/>
    </row>
    <row r="2" ht="20.25" customHeight="1">
      <c r="A2" t="s" s="3">
        <v>1</v>
      </c>
      <c r="B2" t="s" s="3">
        <v>58</v>
      </c>
      <c r="C2" t="s" s="3">
        <v>91</v>
      </c>
      <c r="D2" t="s" s="3">
        <v>5</v>
      </c>
      <c r="E2" t="s" s="3">
        <v>6</v>
      </c>
      <c r="F2" t="s" s="3">
        <v>7</v>
      </c>
      <c r="G2" t="s" s="3">
        <v>8</v>
      </c>
      <c r="H2" t="s" s="3">
        <v>15</v>
      </c>
      <c r="I2" t="s" s="3">
        <v>81</v>
      </c>
      <c r="J2" t="s" s="3">
        <v>92</v>
      </c>
      <c r="K2" t="s" s="3">
        <v>17</v>
      </c>
    </row>
    <row r="3" ht="20.25" customHeight="1">
      <c r="A3" t="s" s="4">
        <v>93</v>
      </c>
      <c r="B3" s="5">
        <v>120</v>
      </c>
      <c r="C3" s="6">
        <f>ROUNDDOWN((B3*ROUNDDOWN(5/D3,0))*G3,0)</f>
        <v>600</v>
      </c>
      <c r="D3" s="6">
        <v>0.9</v>
      </c>
      <c r="E3" s="7">
        <v>4</v>
      </c>
      <c r="F3" s="6">
        <v>10</v>
      </c>
      <c r="G3" s="6">
        <v>1</v>
      </c>
      <c r="H3" t="s" s="8">
        <v>27</v>
      </c>
      <c r="I3" s="6">
        <v>45</v>
      </c>
      <c r="J3" s="6">
        <v>0</v>
      </c>
      <c r="K3" t="s" s="9">
        <v>20</v>
      </c>
    </row>
    <row r="4" ht="20.05" customHeight="1">
      <c r="A4" t="s" s="10">
        <v>93</v>
      </c>
      <c r="B4" s="11">
        <v>48</v>
      </c>
      <c r="C4" s="12">
        <f>ROUNDDOWN((B4*ROUNDDOWN(5/D4,0))*G4,0)</f>
        <v>144</v>
      </c>
      <c r="D4" s="12">
        <v>1.29</v>
      </c>
      <c r="E4" s="13">
        <v>4</v>
      </c>
      <c r="F4" s="12">
        <v>0</v>
      </c>
      <c r="G4" s="12">
        <v>1</v>
      </c>
      <c r="H4" t="s" s="14">
        <v>27</v>
      </c>
      <c r="I4" s="12">
        <v>45</v>
      </c>
      <c r="J4" s="12">
        <v>0</v>
      </c>
      <c r="K4" t="s" s="15">
        <v>20</v>
      </c>
    </row>
    <row r="5" ht="20.05" customHeight="1">
      <c r="A5" t="s" s="10">
        <v>94</v>
      </c>
      <c r="B5" s="11">
        <v>90</v>
      </c>
      <c r="C5" s="12">
        <f>ROUNDDOWN((B5*ROUNDDOWN(5/D5,0))*G5,0)</f>
        <v>540</v>
      </c>
      <c r="D5" s="12">
        <v>0.8</v>
      </c>
      <c r="E5" s="13">
        <v>4</v>
      </c>
      <c r="F5" s="12">
        <v>9</v>
      </c>
      <c r="G5" s="12">
        <v>1</v>
      </c>
      <c r="H5" t="s" s="14">
        <v>22</v>
      </c>
      <c r="I5" s="12">
        <v>45</v>
      </c>
      <c r="J5" s="12">
        <v>5</v>
      </c>
      <c r="K5" t="s" s="15">
        <v>20</v>
      </c>
    </row>
    <row r="6" ht="20.05" customHeight="1">
      <c r="A6" t="s" s="10">
        <v>94</v>
      </c>
      <c r="B6" s="11">
        <v>38</v>
      </c>
      <c r="C6" s="12">
        <f>ROUNDDOWN((B6*ROUNDDOWN(5/D6,0))*G6,0)</f>
        <v>152</v>
      </c>
      <c r="D6" s="12">
        <v>1.1</v>
      </c>
      <c r="E6" s="13">
        <v>4</v>
      </c>
      <c r="F6" s="12">
        <v>0</v>
      </c>
      <c r="G6" s="12">
        <v>1</v>
      </c>
      <c r="H6" t="s" s="14">
        <v>22</v>
      </c>
      <c r="I6" s="12">
        <v>45</v>
      </c>
      <c r="J6" s="12">
        <v>5</v>
      </c>
      <c r="K6" t="s" s="15">
        <v>20</v>
      </c>
    </row>
    <row r="7" ht="20.05" customHeight="1">
      <c r="A7" t="s" s="10">
        <v>95</v>
      </c>
      <c r="B7" s="11">
        <v>96</v>
      </c>
      <c r="C7" s="12">
        <f>ROUNDDOWN((B7*ROUNDDOWN(5/D7,0))*G7,0)</f>
        <v>672</v>
      </c>
      <c r="D7" s="12">
        <v>0.65</v>
      </c>
      <c r="E7" s="13">
        <v>4</v>
      </c>
      <c r="F7" s="12">
        <v>10</v>
      </c>
      <c r="G7" s="12">
        <v>1</v>
      </c>
      <c r="H7" t="s" s="14">
        <v>22</v>
      </c>
      <c r="I7" s="12">
        <v>45</v>
      </c>
      <c r="J7" s="12">
        <v>10</v>
      </c>
      <c r="K7" t="s" s="15">
        <v>20</v>
      </c>
    </row>
    <row r="8" ht="20.05" customHeight="1">
      <c r="A8" t="s" s="10">
        <v>95</v>
      </c>
      <c r="B8" s="11">
        <v>38</v>
      </c>
      <c r="C8" s="12">
        <f>ROUNDDOWN((B8*ROUNDDOWN(5/D8,0))*G8,0)</f>
        <v>190</v>
      </c>
      <c r="D8" s="12">
        <v>1</v>
      </c>
      <c r="E8" s="13">
        <v>4</v>
      </c>
      <c r="F8" s="12">
        <v>0</v>
      </c>
      <c r="G8" s="12">
        <v>1</v>
      </c>
      <c r="H8" t="s" s="14">
        <v>22</v>
      </c>
      <c r="I8" s="12">
        <v>45</v>
      </c>
      <c r="J8" s="12">
        <v>10</v>
      </c>
      <c r="K8" t="s" s="15">
        <v>20</v>
      </c>
    </row>
    <row r="9" ht="20.05" customHeight="1">
      <c r="A9" t="s" s="10">
        <v>96</v>
      </c>
      <c r="B9" s="11">
        <v>106</v>
      </c>
      <c r="C9" s="12">
        <f>ROUNDDOWN((B9*ROUNDDOWN(5/D9,0))*G9,0)</f>
        <v>424</v>
      </c>
      <c r="D9" s="12">
        <v>1.2</v>
      </c>
      <c r="E9" s="13">
        <v>4</v>
      </c>
      <c r="F9" s="12">
        <v>7</v>
      </c>
      <c r="G9" s="12">
        <v>1</v>
      </c>
      <c r="H9" t="s" s="14">
        <v>22</v>
      </c>
      <c r="I9" s="12">
        <v>45</v>
      </c>
      <c r="J9" s="12">
        <v>0</v>
      </c>
      <c r="K9" t="s" s="15">
        <v>20</v>
      </c>
    </row>
    <row r="10" ht="20.05" customHeight="1">
      <c r="A10" t="s" s="10">
        <v>96</v>
      </c>
      <c r="B10" s="11">
        <v>52</v>
      </c>
      <c r="C10" s="12">
        <f>ROUNDDOWN((B10*ROUNDDOWN(5/D10,0))*G10,0)</f>
        <v>104</v>
      </c>
      <c r="D10" s="12">
        <v>1.71</v>
      </c>
      <c r="E10" s="13">
        <v>4</v>
      </c>
      <c r="F10" s="12">
        <v>7</v>
      </c>
      <c r="G10" s="12">
        <v>1</v>
      </c>
      <c r="H10" t="s" s="14">
        <v>22</v>
      </c>
      <c r="I10" s="12">
        <v>45</v>
      </c>
      <c r="J10" s="12">
        <v>0</v>
      </c>
      <c r="K10" t="s" s="15">
        <v>20</v>
      </c>
    </row>
    <row r="11" ht="20.05" customHeight="1">
      <c r="A11" t="s" s="10">
        <v>97</v>
      </c>
      <c r="B11" s="11">
        <v>128</v>
      </c>
      <c r="C11" s="12">
        <f>ROUNDDOWN((B11*ROUNDDOWN(5/D11,0))*G11,0)</f>
        <v>640</v>
      </c>
      <c r="D11" s="12">
        <v>0.96</v>
      </c>
      <c r="E11" s="13">
        <v>4</v>
      </c>
      <c r="F11" s="12">
        <v>10</v>
      </c>
      <c r="G11" s="12">
        <v>1</v>
      </c>
      <c r="H11" t="s" s="14">
        <v>22</v>
      </c>
      <c r="I11" s="12">
        <v>45</v>
      </c>
      <c r="J11" s="12">
        <v>0</v>
      </c>
      <c r="K11" t="s" s="15">
        <v>20</v>
      </c>
    </row>
    <row r="12" ht="20.05" customHeight="1">
      <c r="A12" t="s" s="10">
        <v>97</v>
      </c>
      <c r="B12" s="11">
        <v>50</v>
      </c>
      <c r="C12" s="12">
        <f>ROUNDDOWN((B12*ROUNDDOWN(5/D12,0))*G12,0)</f>
        <v>150</v>
      </c>
      <c r="D12" s="12">
        <v>1.46</v>
      </c>
      <c r="E12" s="13">
        <v>4</v>
      </c>
      <c r="F12" s="12">
        <v>0</v>
      </c>
      <c r="G12" s="12">
        <v>1</v>
      </c>
      <c r="H12" t="s" s="14">
        <v>22</v>
      </c>
      <c r="I12" s="12">
        <v>45</v>
      </c>
      <c r="J12" s="12">
        <v>0</v>
      </c>
      <c r="K12" t="s" s="15">
        <v>20</v>
      </c>
    </row>
    <row r="13" ht="20.05" customHeight="1">
      <c r="A13" t="s" s="10">
        <v>98</v>
      </c>
      <c r="B13" s="11">
        <v>37</v>
      </c>
      <c r="C13" s="12">
        <f>ROUNDDOWN((B13*ROUNDDOWN(5/D13,0))*G13,0)</f>
        <v>296</v>
      </c>
      <c r="D13" s="12">
        <v>0.61</v>
      </c>
      <c r="E13" s="13">
        <v>4</v>
      </c>
      <c r="F13" s="12">
        <v>0</v>
      </c>
      <c r="G13" s="12">
        <v>1</v>
      </c>
      <c r="H13" t="s" s="14">
        <v>25</v>
      </c>
      <c r="I13" s="12">
        <v>45</v>
      </c>
      <c r="J13" s="12">
        <v>0</v>
      </c>
      <c r="K13" t="s" s="15">
        <v>20</v>
      </c>
    </row>
    <row r="14" ht="20.05" customHeight="1">
      <c r="A14" t="s" s="10">
        <v>99</v>
      </c>
      <c r="B14" s="11">
        <v>122</v>
      </c>
      <c r="C14" s="12">
        <f>ROUNDDOWN((B14*ROUNDDOWN(5/D14,0))*G14,0)</f>
        <v>492</v>
      </c>
      <c r="D14" s="12">
        <v>1.01</v>
      </c>
      <c r="E14" s="13">
        <v>4</v>
      </c>
      <c r="F14" s="12">
        <v>11</v>
      </c>
      <c r="G14" s="12">
        <v>1.01</v>
      </c>
      <c r="H14" t="s" s="14">
        <v>25</v>
      </c>
      <c r="I14" s="12">
        <v>45</v>
      </c>
      <c r="J14" s="12">
        <v>0</v>
      </c>
      <c r="K14" t="s" s="15">
        <v>20</v>
      </c>
    </row>
    <row r="15" ht="20.05" customHeight="1">
      <c r="A15" t="s" s="10">
        <v>100</v>
      </c>
      <c r="B15" s="11">
        <v>106</v>
      </c>
      <c r="C15" s="28">
        <f>ROUNDDOWN((B15*ROUNDDOWN(5/D15,0))*G15,0)</f>
      </c>
      <c r="D15" s="28"/>
      <c r="E15" s="13">
        <v>4</v>
      </c>
      <c r="F15" s="12">
        <v>8</v>
      </c>
      <c r="G15" s="12">
        <v>1</v>
      </c>
      <c r="H15" t="s" s="14">
        <v>66</v>
      </c>
      <c r="I15" s="12">
        <v>45</v>
      </c>
      <c r="J15" s="12">
        <v>0</v>
      </c>
      <c r="K15" t="s" s="15">
        <v>20</v>
      </c>
    </row>
    <row r="16" ht="20.05" customHeight="1">
      <c r="A16" t="s" s="10">
        <v>100</v>
      </c>
      <c r="B16" s="11">
        <v>50</v>
      </c>
      <c r="C16" s="12">
        <f>ROUNDDOWN((B16*ROUNDDOWN(5/D16,0))*G16,0)</f>
        <v>200</v>
      </c>
      <c r="D16" s="12">
        <v>1.24</v>
      </c>
      <c r="E16" s="13">
        <v>4</v>
      </c>
      <c r="F16" s="12">
        <v>0</v>
      </c>
      <c r="G16" s="12">
        <v>1</v>
      </c>
      <c r="H16" t="s" s="14">
        <v>66</v>
      </c>
      <c r="I16" s="12">
        <v>45</v>
      </c>
      <c r="J16" s="12">
        <v>0</v>
      </c>
      <c r="K16" t="s" s="15">
        <v>20</v>
      </c>
    </row>
    <row r="17" ht="20.05" customHeight="1">
      <c r="A17" s="29"/>
      <c r="B17" s="24"/>
      <c r="C17" s="28">
        <f>ROUNDDOWN((B17*ROUNDDOWN(5/D17,0))*G17,0)</f>
      </c>
      <c r="D17" s="28"/>
      <c r="E17" s="30"/>
      <c r="F17" s="28"/>
      <c r="G17" s="28"/>
      <c r="H17" s="30"/>
      <c r="I17" s="28"/>
      <c r="J17" s="28"/>
      <c r="K17" s="28"/>
    </row>
    <row r="18" ht="20.05" customHeight="1">
      <c r="A18" s="29"/>
      <c r="B18" s="24"/>
      <c r="C18" s="28">
        <f>ROUNDDOWN((B18*ROUNDDOWN(5/D18,0))*G18,0)</f>
      </c>
      <c r="D18" s="28"/>
      <c r="E18" s="30"/>
      <c r="F18" s="28"/>
      <c r="G18" s="28"/>
      <c r="H18" s="30"/>
      <c r="I18" s="28"/>
      <c r="J18" s="28"/>
      <c r="K18" s="28"/>
    </row>
    <row r="19" ht="20.05" customHeight="1">
      <c r="A19" s="29"/>
      <c r="B19" s="24"/>
      <c r="C19" s="28">
        <f>ROUNDDOWN((B19*ROUNDDOWN(5/D19,0))*G19,0)</f>
      </c>
      <c r="D19" s="28"/>
      <c r="E19" s="30"/>
      <c r="F19" s="28"/>
      <c r="G19" s="28"/>
      <c r="H19" s="30"/>
      <c r="I19" s="28"/>
      <c r="J19" s="28"/>
      <c r="K19" s="28"/>
    </row>
    <row r="20" ht="20.05" customHeight="1">
      <c r="A20" s="29"/>
      <c r="B20" s="24"/>
      <c r="C20" s="28">
        <f>ROUNDDOWN((B20*ROUNDDOWN(5/D20,0))*G20,0)</f>
      </c>
      <c r="D20" s="28"/>
      <c r="E20" s="30"/>
      <c r="F20" s="28"/>
      <c r="G20" s="28"/>
      <c r="H20" s="30"/>
      <c r="I20" s="28"/>
      <c r="J20" s="28"/>
      <c r="K20" s="28"/>
    </row>
    <row r="21" ht="20.05" customHeight="1">
      <c r="A21" s="29"/>
      <c r="B21" s="24"/>
      <c r="C21" s="28">
        <f>ROUNDDOWN((B21*ROUNDDOWN(5/D21,0))*G21,0)</f>
      </c>
      <c r="D21" s="28"/>
      <c r="E21" s="30"/>
      <c r="F21" s="28"/>
      <c r="G21" s="28"/>
      <c r="H21" s="30"/>
      <c r="I21" s="28"/>
      <c r="J21" s="28"/>
      <c r="K21" s="28"/>
    </row>
    <row r="22" ht="20.05" customHeight="1">
      <c r="A22" s="29"/>
      <c r="B22" s="24"/>
      <c r="C22" s="28">
        <f>ROUNDDOWN((B22*ROUNDDOWN(5/D22,0))*G22,0)</f>
      </c>
      <c r="D22" s="28"/>
      <c r="E22" s="30"/>
      <c r="F22" s="28"/>
      <c r="G22" s="28"/>
      <c r="H22" s="30"/>
      <c r="I22" s="28"/>
      <c r="J22" s="28"/>
      <c r="K22" s="28"/>
    </row>
    <row r="23" ht="20.05" customHeight="1">
      <c r="A23" s="29"/>
      <c r="B23" s="24"/>
      <c r="C23" s="28">
        <f>ROUNDDOWN((B23*ROUNDDOWN(5/D23,0))*G23,0)</f>
      </c>
      <c r="D23" s="28"/>
      <c r="E23" s="30"/>
      <c r="F23" s="28"/>
      <c r="G23" s="28"/>
      <c r="H23" s="30"/>
      <c r="I23" s="28"/>
      <c r="J23" s="28"/>
      <c r="K23" s="28"/>
    </row>
    <row r="24" ht="20.05" customHeight="1">
      <c r="A24" s="29"/>
      <c r="B24" s="24"/>
      <c r="C24" s="28">
        <f>ROUNDDOWN((B24*ROUNDDOWN(5/D24,0))*G24,0)</f>
      </c>
      <c r="D24" s="28"/>
      <c r="E24" s="30"/>
      <c r="F24" s="28"/>
      <c r="G24" s="28"/>
      <c r="H24" s="30"/>
      <c r="I24" s="28"/>
      <c r="J24" s="28"/>
      <c r="K24" s="28"/>
    </row>
    <row r="25" ht="20.05" customHeight="1">
      <c r="A25" s="29"/>
      <c r="B25" s="24"/>
      <c r="C25" s="28">
        <f>ROUNDDOWN((B25*ROUNDDOWN(5/D25,0))*G25,0)</f>
      </c>
      <c r="D25" s="28"/>
      <c r="E25" s="30"/>
      <c r="F25" s="28"/>
      <c r="G25" s="28"/>
      <c r="H25" s="30"/>
      <c r="I25" s="28"/>
      <c r="J25" s="28"/>
      <c r="K25" s="28"/>
    </row>
    <row r="26" ht="20.05" customHeight="1">
      <c r="A26" s="29"/>
      <c r="B26" s="24"/>
      <c r="C26" s="28">
        <f>ROUNDDOWN((B26*ROUNDDOWN(5/D26,0))*G26,0)</f>
      </c>
      <c r="D26" s="28"/>
      <c r="E26" s="30"/>
      <c r="F26" s="28"/>
      <c r="G26" s="28"/>
      <c r="H26" s="30"/>
      <c r="I26" s="28"/>
      <c r="J26" s="28"/>
      <c r="K26" s="28"/>
    </row>
    <row r="27" ht="20.05" customHeight="1">
      <c r="A27" s="29"/>
      <c r="B27" s="24"/>
      <c r="C27" s="28">
        <f>ROUNDDOWN((B27*ROUNDDOWN(5/D27,0))*G27,0)</f>
      </c>
      <c r="D27" s="28"/>
      <c r="E27" s="30"/>
      <c r="F27" s="28"/>
      <c r="G27" s="28"/>
      <c r="H27" s="30"/>
      <c r="I27" s="28"/>
      <c r="J27" s="28"/>
      <c r="K27" s="28"/>
    </row>
    <row r="28" ht="20.05" customHeight="1">
      <c r="A28" s="29"/>
      <c r="B28" s="24"/>
      <c r="C28" s="28">
        <f>ROUNDDOWN((B28*ROUNDDOWN(5/D28,0))*G28,0)</f>
      </c>
      <c r="D28" s="28"/>
      <c r="E28" s="30"/>
      <c r="F28" s="28"/>
      <c r="G28" s="28"/>
      <c r="H28" s="30"/>
      <c r="I28" s="28"/>
      <c r="J28" s="28"/>
      <c r="K28" s="28"/>
    </row>
    <row r="29" ht="20.05" customHeight="1">
      <c r="A29" s="29"/>
      <c r="B29" s="24"/>
      <c r="C29" s="28">
        <f>ROUNDDOWN((B29*ROUNDDOWN(5/D29,0))*G29,0)</f>
      </c>
      <c r="D29" s="28"/>
      <c r="E29" s="30"/>
      <c r="F29" s="28"/>
      <c r="G29" s="28"/>
      <c r="H29" s="30"/>
      <c r="I29" s="28"/>
      <c r="J29" s="28"/>
      <c r="K29" s="28"/>
    </row>
    <row r="30" ht="20.05" customHeight="1">
      <c r="A30" s="29"/>
      <c r="B30" s="24"/>
      <c r="C30" s="28">
        <f>ROUNDDOWN((B30*ROUNDDOWN(5/D30,0))*G30,0)</f>
      </c>
      <c r="D30" s="28"/>
      <c r="E30" s="30"/>
      <c r="F30" s="28"/>
      <c r="G30" s="28"/>
      <c r="H30" s="30"/>
      <c r="I30" s="28"/>
      <c r="J30" s="28"/>
      <c r="K30" s="28"/>
    </row>
    <row r="31" ht="20.05" customHeight="1">
      <c r="A31" s="29"/>
      <c r="B31" s="24"/>
      <c r="C31" s="28">
        <f>ROUNDDOWN((B31*ROUNDDOWN(5/D31,0))*G31,0)</f>
      </c>
      <c r="D31" s="28"/>
      <c r="E31" s="30"/>
      <c r="F31" s="28"/>
      <c r="G31" s="28"/>
      <c r="H31" s="30"/>
      <c r="I31" s="28"/>
      <c r="J31" s="28"/>
      <c r="K31" s="28"/>
    </row>
    <row r="32" ht="20.05" customHeight="1">
      <c r="A32" s="29"/>
      <c r="B32" s="24"/>
      <c r="C32" s="28">
        <f>ROUNDDOWN((B32*ROUNDDOWN(5/D32,0))*G32,0)</f>
      </c>
      <c r="D32" s="28"/>
      <c r="E32" s="30"/>
      <c r="F32" s="28"/>
      <c r="G32" s="28"/>
      <c r="H32" s="30"/>
      <c r="I32" s="28"/>
      <c r="J32" s="28"/>
      <c r="K32" s="28"/>
    </row>
    <row r="33" ht="20.05" customHeight="1">
      <c r="A33" s="29"/>
      <c r="B33" s="24"/>
      <c r="C33" s="28">
        <f>ROUNDDOWN((B33*ROUNDDOWN(5/D33,0))*G33,0)</f>
      </c>
      <c r="D33" s="28"/>
      <c r="E33" s="30"/>
      <c r="F33" s="28"/>
      <c r="G33" s="28"/>
      <c r="H33" s="30"/>
      <c r="I33" s="28"/>
      <c r="J33" s="28"/>
      <c r="K33" s="28"/>
    </row>
    <row r="34" ht="20.05" customHeight="1">
      <c r="A34" s="29"/>
      <c r="B34" s="24"/>
      <c r="C34" s="28">
        <f>ROUNDDOWN((B34*ROUNDDOWN(5/D34,0))*G34,0)</f>
      </c>
      <c r="D34" s="28"/>
      <c r="E34" s="30"/>
      <c r="F34" s="28"/>
      <c r="G34" s="28"/>
      <c r="H34" s="30"/>
      <c r="I34" s="28"/>
      <c r="J34" s="28"/>
      <c r="K34" s="28"/>
    </row>
    <row r="35" ht="20.05" customHeight="1">
      <c r="A35" s="29"/>
      <c r="B35" s="24"/>
      <c r="C35" s="28">
        <f>ROUNDDOWN((B35*ROUNDDOWN(5/D35,0))*G35,0)</f>
      </c>
      <c r="D35" s="28"/>
      <c r="E35" s="30"/>
      <c r="F35" s="28"/>
      <c r="G35" s="28"/>
      <c r="H35" s="30"/>
      <c r="I35" s="28"/>
      <c r="J35" s="28"/>
      <c r="K35" s="28"/>
    </row>
  </sheetData>
  <mergeCells count="1">
    <mergeCell ref="A1:K1"/>
  </mergeCells>
  <conditionalFormatting sqref="E3:E35">
    <cfRule type="cellIs" dxfId="58" priority="1" operator="equal" stopIfTrue="1">
      <formula>5</formula>
    </cfRule>
    <cfRule type="cellIs" dxfId="59" priority="2" operator="equal" stopIfTrue="1">
      <formula>4</formula>
    </cfRule>
    <cfRule type="cellIs" dxfId="60" priority="3" operator="equal" stopIfTrue="1">
      <formula>3</formula>
    </cfRule>
    <cfRule type="cellIs" dxfId="61" priority="4" operator="equal" stopIfTrue="1">
      <formula>2</formula>
    </cfRule>
  </conditionalFormatting>
  <conditionalFormatting sqref="H3:H4">
    <cfRule type="cellIs" dxfId="62" priority="1" operator="equal" stopIfTrue="1">
      <formula>"Royal Navy"</formula>
    </cfRule>
    <cfRule type="cellIs" dxfId="63" priority="2" operator="equal" stopIfTrue="1">
      <formula>"Sakura Empire"</formula>
    </cfRule>
    <cfRule type="cellIs" dxfId="64" priority="3" operator="equal" stopIfTrue="1">
      <formula>"Iron Blood"</formula>
    </cfRule>
    <cfRule type="cellIs" dxfId="65" priority="4" operator="equal" stopIfTrue="1">
      <formula>"Eagle Union"</formula>
    </cfRule>
    <cfRule type="cellIs" dxfId="66" priority="5" operator="equal" stopIfTrue="1">
      <formula>"Sardegna Empire"</formula>
    </cfRule>
    <cfRule type="cellIs" dxfId="67" priority="6" operator="equal" stopIfTrue="1">
      <formula>"Northern Parliament"</formula>
    </cfRule>
  </conditionalFormatting>
  <conditionalFormatting sqref="H5:H35">
    <cfRule type="cellIs" dxfId="68" priority="1" operator="equal" stopIfTrue="1">
      <formula>"Royal Navy"</formula>
    </cfRule>
    <cfRule type="cellIs" dxfId="69" priority="2" operator="equal" stopIfTrue="1">
      <formula>"Sakura Empire"</formula>
    </cfRule>
    <cfRule type="cellIs" dxfId="70" priority="3" operator="equal" stopIfTrue="1">
      <formula>"Iron Blood"</formula>
    </cfRule>
    <cfRule type="cellIs" dxfId="71" priority="4" operator="equal" stopIfTrue="1">
      <formula>"Eagle Union"</formula>
    </cfRule>
    <cfRule type="cellIs" dxfId="72" priority="5" operator="equal" stopIfTrue="1">
      <formula>"Sardegna Empire"</formula>
    </cfRule>
    <cfRule type="cellIs" dxfId="73" priority="6" operator="equal" stopIfTrue="1">
      <formula>"Northern Parliament"</formula>
    </cfRule>
    <cfRule type="cellIs" dxfId="74" priority="7" operator="equal" stopIfTrue="1">
      <formula>"Iris Libre"</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16384" width="10" customWidth="1"/>
  </cols>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2:S71"/>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35.4375" style="32" customWidth="1"/>
    <col min="2" max="2" width="9.76562" style="32" customWidth="1"/>
    <col min="3" max="3" width="8.90625" style="32" customWidth="1"/>
    <col min="4" max="4" width="9.40625" style="32" customWidth="1"/>
    <col min="5" max="6" width="4.9375" style="32" customWidth="1"/>
    <col min="7" max="7" width="4.90625" style="32" customWidth="1"/>
    <col min="8" max="8" width="3.57812" style="32" customWidth="1"/>
    <col min="9" max="9" width="4.72656" style="32" customWidth="1"/>
    <col min="10" max="10" width="4.40625" style="32" customWidth="1"/>
    <col min="11" max="11" width="5.22656" style="32" customWidth="1"/>
    <col min="12" max="12" width="3.90625" style="32" customWidth="1"/>
    <col min="13" max="13" width="4.90625" style="32" customWidth="1"/>
    <col min="14" max="14" width="5.40625" style="32" customWidth="1"/>
    <col min="15" max="15" width="4.90625" style="32" customWidth="1"/>
    <col min="16" max="16" width="5.07812" style="32" customWidth="1"/>
    <col min="17" max="17" width="4.72656" style="32" customWidth="1"/>
    <col min="18" max="18" width="6.22656" style="32" customWidth="1"/>
    <col min="19" max="19" width="28.0781" style="32" customWidth="1"/>
    <col min="20" max="16384" width="16.3516" style="32" customWidth="1"/>
  </cols>
  <sheetData>
    <row r="1" ht="27.65" customHeight="1">
      <c r="A1" t="s" s="2">
        <v>101</v>
      </c>
      <c r="B1" s="2"/>
      <c r="C1" s="2"/>
      <c r="D1" s="2"/>
      <c r="E1" s="2"/>
      <c r="F1" s="2"/>
      <c r="G1" s="2"/>
      <c r="H1" s="2"/>
      <c r="I1" s="2"/>
      <c r="J1" s="2"/>
      <c r="K1" s="2"/>
      <c r="L1" s="2"/>
      <c r="M1" s="2"/>
      <c r="N1" s="2"/>
      <c r="O1" s="2"/>
      <c r="P1" s="2"/>
      <c r="Q1" s="2"/>
      <c r="R1" s="2"/>
      <c r="S1" s="2"/>
    </row>
    <row r="2" ht="20.25" customHeight="1">
      <c r="A2" t="s" s="3">
        <v>1</v>
      </c>
      <c r="B2" t="s" s="3">
        <v>102</v>
      </c>
      <c r="C2" t="s" s="3">
        <v>103</v>
      </c>
      <c r="D2" t="s" s="3">
        <v>104</v>
      </c>
      <c r="E2" t="s" s="3">
        <v>105</v>
      </c>
      <c r="F2" t="s" s="3">
        <v>106</v>
      </c>
      <c r="G2" t="s" s="3">
        <v>107</v>
      </c>
      <c r="H2" t="s" s="3">
        <v>108</v>
      </c>
      <c r="I2" t="s" s="3">
        <v>109</v>
      </c>
      <c r="J2" t="s" s="3">
        <v>110</v>
      </c>
      <c r="K2" t="s" s="3">
        <v>111</v>
      </c>
      <c r="L2" t="s" s="3">
        <v>112</v>
      </c>
      <c r="M2" t="s" s="3">
        <v>113</v>
      </c>
      <c r="N2" t="s" s="3">
        <v>53</v>
      </c>
      <c r="O2" t="s" s="3">
        <v>114</v>
      </c>
      <c r="P2" t="s" s="3">
        <v>115</v>
      </c>
      <c r="Q2" t="s" s="3">
        <v>116</v>
      </c>
      <c r="R2" t="s" s="3">
        <v>117</v>
      </c>
      <c r="S2" t="s" s="3">
        <v>17</v>
      </c>
    </row>
    <row r="3" ht="20.25" customHeight="1">
      <c r="A3" t="s" s="4">
        <v>118</v>
      </c>
      <c r="B3" s="23"/>
      <c r="C3" s="27"/>
      <c r="D3" s="27"/>
      <c r="E3" s="6">
        <v>106</v>
      </c>
      <c r="F3" s="27"/>
      <c r="G3" s="27"/>
      <c r="H3" s="27"/>
      <c r="I3" s="27"/>
      <c r="J3" s="6">
        <v>80</v>
      </c>
      <c r="K3" s="27"/>
      <c r="L3" s="27"/>
      <c r="M3" s="27"/>
      <c r="N3" s="27"/>
      <c r="O3" s="27"/>
      <c r="P3" s="6">
        <v>11</v>
      </c>
      <c r="Q3" s="6">
        <v>0.01</v>
      </c>
      <c r="R3" s="6">
        <v>4</v>
      </c>
      <c r="S3" t="s" s="9">
        <v>20</v>
      </c>
    </row>
    <row r="4" ht="20.05" customHeight="1">
      <c r="A4" t="s" s="10">
        <v>118</v>
      </c>
      <c r="B4" s="24"/>
      <c r="C4" s="28"/>
      <c r="D4" s="28"/>
      <c r="E4" s="12">
        <v>100</v>
      </c>
      <c r="F4" s="28"/>
      <c r="G4" s="28"/>
      <c r="H4" s="28"/>
      <c r="I4" s="28"/>
      <c r="J4" s="12">
        <v>75</v>
      </c>
      <c r="K4" s="28"/>
      <c r="L4" s="28"/>
      <c r="M4" s="28"/>
      <c r="N4" s="28"/>
      <c r="O4" s="28"/>
      <c r="P4" s="12">
        <v>10</v>
      </c>
      <c r="Q4" s="28"/>
      <c r="R4" s="12">
        <v>4</v>
      </c>
      <c r="S4" t="s" s="15">
        <v>20</v>
      </c>
    </row>
    <row r="5" ht="20.05" customHeight="1">
      <c r="A5" t="s" s="10">
        <v>118</v>
      </c>
      <c r="B5" s="24"/>
      <c r="C5" s="28"/>
      <c r="D5" s="28"/>
      <c r="E5" s="12">
        <v>82</v>
      </c>
      <c r="F5" s="28"/>
      <c r="G5" s="28"/>
      <c r="H5" s="28"/>
      <c r="I5" s="28"/>
      <c r="J5" s="12">
        <v>60</v>
      </c>
      <c r="K5" s="28"/>
      <c r="L5" s="28"/>
      <c r="M5" s="28"/>
      <c r="N5" s="28"/>
      <c r="O5" s="28"/>
      <c r="P5" s="12">
        <v>7</v>
      </c>
      <c r="Q5" s="28"/>
      <c r="R5" s="12">
        <v>4</v>
      </c>
      <c r="S5" t="s" s="15">
        <v>20</v>
      </c>
    </row>
    <row r="6" ht="20.05" customHeight="1">
      <c r="A6" t="s" s="10">
        <v>118</v>
      </c>
      <c r="B6" s="24"/>
      <c r="C6" s="28"/>
      <c r="D6" s="28"/>
      <c r="E6" s="12">
        <v>76</v>
      </c>
      <c r="F6" s="28"/>
      <c r="G6" s="28"/>
      <c r="H6" s="28"/>
      <c r="I6" s="28"/>
      <c r="J6" s="12">
        <v>55</v>
      </c>
      <c r="K6" s="28"/>
      <c r="L6" s="28"/>
      <c r="M6" s="28"/>
      <c r="N6" s="28"/>
      <c r="O6" s="28"/>
      <c r="P6" s="12">
        <v>6</v>
      </c>
      <c r="Q6" s="28"/>
      <c r="R6" s="12">
        <v>4</v>
      </c>
      <c r="S6" t="s" s="15">
        <v>20</v>
      </c>
    </row>
    <row r="7" ht="20.05" customHeight="1">
      <c r="A7" t="s" s="10">
        <v>118</v>
      </c>
      <c r="B7" s="24"/>
      <c r="C7" s="28"/>
      <c r="D7" s="28"/>
      <c r="E7" s="12">
        <v>40</v>
      </c>
      <c r="F7" s="28"/>
      <c r="G7" s="28"/>
      <c r="H7" s="28"/>
      <c r="I7" s="28"/>
      <c r="J7" s="12">
        <v>25</v>
      </c>
      <c r="K7" s="28"/>
      <c r="L7" s="28"/>
      <c r="M7" s="28"/>
      <c r="N7" s="28"/>
      <c r="O7" s="28"/>
      <c r="P7" s="28"/>
      <c r="Q7" s="28"/>
      <c r="R7" s="12">
        <v>4</v>
      </c>
      <c r="S7" t="s" s="15">
        <v>20</v>
      </c>
    </row>
    <row r="8" ht="20.05" customHeight="1">
      <c r="A8" t="s" s="10">
        <v>118</v>
      </c>
      <c r="B8" s="24"/>
      <c r="C8" s="28"/>
      <c r="D8" s="28"/>
      <c r="E8" s="12">
        <v>61</v>
      </c>
      <c r="F8" s="28"/>
      <c r="G8" s="28"/>
      <c r="H8" s="28"/>
      <c r="I8" s="28"/>
      <c r="J8" s="12">
        <v>52</v>
      </c>
      <c r="K8" s="28"/>
      <c r="L8" s="28"/>
      <c r="M8" s="28"/>
      <c r="N8" s="28"/>
      <c r="O8" s="28"/>
      <c r="P8" s="12">
        <v>8</v>
      </c>
      <c r="Q8" s="28"/>
      <c r="R8" s="12">
        <v>3</v>
      </c>
      <c r="S8" t="s" s="15">
        <v>20</v>
      </c>
    </row>
    <row r="9" ht="20.05" customHeight="1">
      <c r="A9" t="s" s="10">
        <v>118</v>
      </c>
      <c r="B9" s="24"/>
      <c r="C9" s="28"/>
      <c r="D9" s="28"/>
      <c r="E9" s="12">
        <v>53</v>
      </c>
      <c r="F9" s="28"/>
      <c r="G9" s="28"/>
      <c r="H9" s="28"/>
      <c r="I9" s="28"/>
      <c r="J9" s="12">
        <v>44</v>
      </c>
      <c r="K9" s="28"/>
      <c r="L9" s="28"/>
      <c r="M9" s="28"/>
      <c r="N9" s="28"/>
      <c r="O9" s="28"/>
      <c r="P9" s="12">
        <v>6</v>
      </c>
      <c r="Q9" s="28"/>
      <c r="R9" s="12">
        <v>3</v>
      </c>
      <c r="S9" t="s" s="15">
        <v>20</v>
      </c>
    </row>
    <row r="10" ht="20.05" customHeight="1">
      <c r="A10" t="s" s="10">
        <v>119</v>
      </c>
      <c r="B10" s="24"/>
      <c r="C10" s="28"/>
      <c r="D10" s="28"/>
      <c r="E10" s="12">
        <v>65</v>
      </c>
      <c r="F10" s="28"/>
      <c r="G10" s="28"/>
      <c r="H10" s="28"/>
      <c r="I10" s="28"/>
      <c r="J10" s="12">
        <v>56</v>
      </c>
      <c r="K10" s="28"/>
      <c r="L10" s="28"/>
      <c r="M10" s="28"/>
      <c r="N10" s="28"/>
      <c r="O10" s="28"/>
      <c r="P10" s="12">
        <v>9</v>
      </c>
      <c r="Q10" s="28"/>
      <c r="R10" s="12">
        <v>3</v>
      </c>
      <c r="S10" t="s" s="15">
        <v>120</v>
      </c>
    </row>
    <row r="11" ht="20.05" customHeight="1">
      <c r="A11" t="s" s="10">
        <v>121</v>
      </c>
      <c r="B11" s="24"/>
      <c r="C11" s="28"/>
      <c r="D11" s="28"/>
      <c r="E11" s="12">
        <v>14</v>
      </c>
      <c r="F11" s="28"/>
      <c r="G11" s="28"/>
      <c r="H11" s="28"/>
      <c r="I11" s="28"/>
      <c r="J11" s="28"/>
      <c r="K11" s="28"/>
      <c r="L11" s="12">
        <v>8</v>
      </c>
      <c r="M11" s="28"/>
      <c r="N11" s="28"/>
      <c r="O11" s="28"/>
      <c r="P11" s="28"/>
      <c r="Q11" s="28"/>
      <c r="R11" s="12">
        <v>3</v>
      </c>
      <c r="S11" t="s" s="15">
        <v>121</v>
      </c>
    </row>
    <row r="12" ht="20.05" customHeight="1">
      <c r="A12" t="s" s="10">
        <v>122</v>
      </c>
      <c r="B12" s="24"/>
      <c r="C12" s="28"/>
      <c r="D12" s="28"/>
      <c r="E12" s="28"/>
      <c r="F12" s="12">
        <v>100</v>
      </c>
      <c r="G12" s="12">
        <v>10</v>
      </c>
      <c r="H12" s="28"/>
      <c r="I12" s="28"/>
      <c r="J12" s="28"/>
      <c r="K12" s="28"/>
      <c r="L12" s="28"/>
      <c r="M12" s="28"/>
      <c r="N12" s="28"/>
      <c r="O12" s="28"/>
      <c r="P12" s="12">
        <v>10</v>
      </c>
      <c r="Q12" s="28"/>
      <c r="R12" s="12">
        <v>5</v>
      </c>
      <c r="S12" t="s" s="15">
        <v>20</v>
      </c>
    </row>
    <row r="13" ht="20.05" customHeight="1">
      <c r="A13" t="s" s="10">
        <v>122</v>
      </c>
      <c r="B13" s="24"/>
      <c r="C13" s="28"/>
      <c r="D13" s="28"/>
      <c r="E13" s="28"/>
      <c r="F13" s="12">
        <v>45</v>
      </c>
      <c r="G13" s="12">
        <v>10</v>
      </c>
      <c r="H13" s="28"/>
      <c r="I13" s="28"/>
      <c r="J13" s="28"/>
      <c r="K13" s="28"/>
      <c r="L13" s="28"/>
      <c r="M13" s="28"/>
      <c r="N13" s="28"/>
      <c r="O13" s="28"/>
      <c r="P13" s="12">
        <v>10</v>
      </c>
      <c r="Q13" s="28"/>
      <c r="R13" s="12">
        <v>3</v>
      </c>
      <c r="S13" t="s" s="15">
        <v>20</v>
      </c>
    </row>
    <row r="14" ht="20.05" customHeight="1">
      <c r="A14" t="s" s="10">
        <v>123</v>
      </c>
      <c r="B14" s="24"/>
      <c r="C14" s="28"/>
      <c r="D14" s="28"/>
      <c r="E14" s="28"/>
      <c r="F14" s="28"/>
      <c r="G14" s="12">
        <v>28</v>
      </c>
      <c r="H14" s="12">
        <v>6</v>
      </c>
      <c r="I14" s="28"/>
      <c r="J14" s="28"/>
      <c r="K14" s="28"/>
      <c r="L14" s="28"/>
      <c r="M14" s="28"/>
      <c r="N14" s="28"/>
      <c r="O14" s="28"/>
      <c r="P14" s="12">
        <v>7</v>
      </c>
      <c r="Q14" s="28"/>
      <c r="R14" s="12">
        <v>3</v>
      </c>
      <c r="S14" t="s" s="15">
        <v>20</v>
      </c>
    </row>
    <row r="15" ht="20.05" customHeight="1">
      <c r="A15" t="s" s="10">
        <v>123</v>
      </c>
      <c r="B15" s="24"/>
      <c r="C15" s="28"/>
      <c r="D15" s="28"/>
      <c r="E15" s="28"/>
      <c r="F15" s="28"/>
      <c r="G15" s="12">
        <v>26</v>
      </c>
      <c r="H15" s="12">
        <v>5</v>
      </c>
      <c r="I15" s="28"/>
      <c r="J15" s="28"/>
      <c r="K15" s="28"/>
      <c r="L15" s="28"/>
      <c r="M15" s="28"/>
      <c r="N15" s="28"/>
      <c r="O15" s="28"/>
      <c r="P15" s="12">
        <v>6</v>
      </c>
      <c r="Q15" s="28"/>
      <c r="R15" s="12">
        <v>3</v>
      </c>
      <c r="S15" t="s" s="15">
        <v>20</v>
      </c>
    </row>
    <row r="16" ht="20.05" customHeight="1">
      <c r="A16" t="s" s="10">
        <v>124</v>
      </c>
      <c r="B16" s="24"/>
      <c r="C16" s="28"/>
      <c r="D16" s="28"/>
      <c r="E16" s="28"/>
      <c r="F16" s="28"/>
      <c r="G16" s="12">
        <v>2</v>
      </c>
      <c r="H16" s="28"/>
      <c r="I16" s="28"/>
      <c r="J16" s="28"/>
      <c r="K16" s="28"/>
      <c r="L16" s="28"/>
      <c r="M16" s="28"/>
      <c r="N16" s="28"/>
      <c r="O16" s="28"/>
      <c r="P16" s="28"/>
      <c r="Q16" s="28"/>
      <c r="R16" s="12">
        <v>0</v>
      </c>
      <c r="S16" t="s" s="15">
        <v>20</v>
      </c>
    </row>
    <row r="17" ht="20.05" customHeight="1">
      <c r="A17" t="s" s="10">
        <v>125</v>
      </c>
      <c r="B17" s="24"/>
      <c r="C17" s="28"/>
      <c r="D17" s="28"/>
      <c r="E17" s="28"/>
      <c r="F17" s="28"/>
      <c r="G17" s="28"/>
      <c r="H17" s="28"/>
      <c r="I17" s="12">
        <v>37</v>
      </c>
      <c r="J17" s="12">
        <v>56</v>
      </c>
      <c r="K17" s="28"/>
      <c r="L17" s="28"/>
      <c r="M17" s="28"/>
      <c r="N17" s="28"/>
      <c r="O17" s="28"/>
      <c r="P17" s="12">
        <v>9</v>
      </c>
      <c r="Q17" s="28"/>
      <c r="R17" s="12">
        <v>4</v>
      </c>
      <c r="S17" t="s" s="15">
        <v>126</v>
      </c>
    </row>
    <row r="18" ht="20.05" customHeight="1">
      <c r="A18" t="s" s="10">
        <v>125</v>
      </c>
      <c r="B18" s="24"/>
      <c r="C18" s="28"/>
      <c r="D18" s="28"/>
      <c r="E18" s="28"/>
      <c r="F18" s="28"/>
      <c r="G18" s="28"/>
      <c r="H18" s="28"/>
      <c r="I18" s="12">
        <v>31</v>
      </c>
      <c r="J18" s="12">
        <v>48</v>
      </c>
      <c r="K18" s="28"/>
      <c r="L18" s="28"/>
      <c r="M18" s="28"/>
      <c r="N18" s="28"/>
      <c r="O18" s="28"/>
      <c r="P18" s="12">
        <v>7</v>
      </c>
      <c r="Q18" s="28"/>
      <c r="R18" s="12">
        <v>4</v>
      </c>
      <c r="S18" t="s" s="15">
        <v>126</v>
      </c>
    </row>
    <row r="19" ht="20.05" customHeight="1">
      <c r="A19" t="s" s="10">
        <v>127</v>
      </c>
      <c r="B19" s="24"/>
      <c r="C19" s="28"/>
      <c r="D19" s="28"/>
      <c r="E19" s="28"/>
      <c r="F19" s="28"/>
      <c r="G19" s="28"/>
      <c r="H19" s="28"/>
      <c r="I19" s="12">
        <v>11</v>
      </c>
      <c r="J19" s="28"/>
      <c r="K19" s="12">
        <v>26</v>
      </c>
      <c r="L19" s="28"/>
      <c r="M19" s="28"/>
      <c r="N19" s="28"/>
      <c r="O19" s="28"/>
      <c r="P19" s="12">
        <v>6</v>
      </c>
      <c r="Q19" s="28"/>
      <c r="R19" s="12">
        <v>4</v>
      </c>
      <c r="S19" t="s" s="15">
        <v>128</v>
      </c>
    </row>
    <row r="20" ht="20.05" customHeight="1">
      <c r="A20" t="s" s="10">
        <v>127</v>
      </c>
      <c r="B20" s="24"/>
      <c r="C20" s="28"/>
      <c r="D20" s="28"/>
      <c r="E20" s="28"/>
      <c r="F20" s="28"/>
      <c r="G20" s="28"/>
      <c r="H20" s="28"/>
      <c r="I20" s="12">
        <v>7</v>
      </c>
      <c r="J20" s="28"/>
      <c r="K20" s="12">
        <v>18</v>
      </c>
      <c r="L20" s="28"/>
      <c r="M20" s="28"/>
      <c r="N20" s="28"/>
      <c r="O20" s="28"/>
      <c r="P20" s="12">
        <v>6</v>
      </c>
      <c r="Q20" s="28"/>
      <c r="R20" s="12">
        <v>3</v>
      </c>
      <c r="S20" t="s" s="15">
        <v>129</v>
      </c>
    </row>
    <row r="21" ht="20.05" customHeight="1">
      <c r="A21" t="s" s="10">
        <v>127</v>
      </c>
      <c r="B21" s="24"/>
      <c r="C21" s="28"/>
      <c r="D21" s="28"/>
      <c r="E21" s="28"/>
      <c r="F21" s="28"/>
      <c r="G21" s="28"/>
      <c r="H21" s="28"/>
      <c r="I21" s="12">
        <v>6</v>
      </c>
      <c r="J21" s="28"/>
      <c r="K21" s="12">
        <v>14</v>
      </c>
      <c r="L21" s="28"/>
      <c r="M21" s="28"/>
      <c r="N21" s="28"/>
      <c r="O21" s="28"/>
      <c r="P21" s="12">
        <v>3</v>
      </c>
      <c r="Q21" s="28"/>
      <c r="R21" s="12">
        <v>3</v>
      </c>
      <c r="S21" t="s" s="15">
        <v>129</v>
      </c>
    </row>
    <row r="22" ht="20.05" customHeight="1">
      <c r="A22" t="s" s="10">
        <v>127</v>
      </c>
      <c r="B22" s="24"/>
      <c r="C22" s="28"/>
      <c r="D22" s="28"/>
      <c r="E22" s="28"/>
      <c r="F22" s="28"/>
      <c r="G22" s="28"/>
      <c r="H22" s="28"/>
      <c r="I22" s="12">
        <v>4</v>
      </c>
      <c r="J22" s="28"/>
      <c r="K22" s="12">
        <v>9</v>
      </c>
      <c r="L22" s="28"/>
      <c r="M22" s="28"/>
      <c r="N22" s="28"/>
      <c r="O22" s="28"/>
      <c r="P22" s="28"/>
      <c r="Q22" s="28"/>
      <c r="R22" s="12">
        <v>3</v>
      </c>
      <c r="S22" t="s" s="15">
        <v>129</v>
      </c>
    </row>
    <row r="23" ht="20.05" customHeight="1">
      <c r="A23" t="s" s="10">
        <v>127</v>
      </c>
      <c r="B23" s="24"/>
      <c r="C23" s="28"/>
      <c r="D23" s="28"/>
      <c r="E23" s="28"/>
      <c r="F23" s="28"/>
      <c r="G23" s="28"/>
      <c r="H23" s="28"/>
      <c r="I23" s="12">
        <v>3</v>
      </c>
      <c r="J23" s="28"/>
      <c r="K23" s="12">
        <v>7</v>
      </c>
      <c r="L23" s="28"/>
      <c r="M23" s="28"/>
      <c r="N23" s="28"/>
      <c r="O23" s="28"/>
      <c r="P23" s="12">
        <v>1</v>
      </c>
      <c r="Q23" s="28"/>
      <c r="R23" s="12">
        <v>2</v>
      </c>
      <c r="S23" t="s" s="15">
        <v>130</v>
      </c>
    </row>
    <row r="24" ht="20.05" customHeight="1">
      <c r="A24" t="s" s="10">
        <v>127</v>
      </c>
      <c r="B24" s="24"/>
      <c r="C24" s="28"/>
      <c r="D24" s="28"/>
      <c r="E24" s="28"/>
      <c r="F24" s="28"/>
      <c r="G24" s="28"/>
      <c r="H24" s="28"/>
      <c r="I24" s="12">
        <v>2</v>
      </c>
      <c r="J24" s="28"/>
      <c r="K24" s="12">
        <v>6</v>
      </c>
      <c r="L24" s="28"/>
      <c r="M24" s="28"/>
      <c r="N24" s="28"/>
      <c r="O24" s="28"/>
      <c r="P24" s="28"/>
      <c r="Q24" s="28"/>
      <c r="R24" s="12">
        <v>2</v>
      </c>
      <c r="S24" t="s" s="15">
        <v>130</v>
      </c>
    </row>
    <row r="25" ht="20.05" customHeight="1">
      <c r="A25" t="s" s="10">
        <v>131</v>
      </c>
      <c r="B25" s="24"/>
      <c r="C25" s="28"/>
      <c r="D25" s="28"/>
      <c r="E25" s="28"/>
      <c r="F25" s="28"/>
      <c r="G25" s="28"/>
      <c r="H25" s="28"/>
      <c r="I25" s="12">
        <v>4</v>
      </c>
      <c r="J25" s="12">
        <v>287</v>
      </c>
      <c r="K25" s="28"/>
      <c r="L25" s="28"/>
      <c r="M25" s="28"/>
      <c r="N25" s="28"/>
      <c r="O25" s="28"/>
      <c r="P25" s="28"/>
      <c r="Q25" s="28"/>
      <c r="R25" s="12">
        <v>3</v>
      </c>
      <c r="S25" t="s" s="15">
        <v>20</v>
      </c>
    </row>
    <row r="26" ht="20.05" customHeight="1">
      <c r="A26" t="s" s="10">
        <v>131</v>
      </c>
      <c r="B26" s="24"/>
      <c r="C26" s="28"/>
      <c r="D26" s="28"/>
      <c r="E26" s="28"/>
      <c r="F26" s="28"/>
      <c r="G26" s="28"/>
      <c r="H26" s="28"/>
      <c r="I26" s="12">
        <v>3</v>
      </c>
      <c r="J26" s="12">
        <v>266</v>
      </c>
      <c r="K26" s="28"/>
      <c r="L26" s="28"/>
      <c r="M26" s="28"/>
      <c r="N26" s="28"/>
      <c r="O26" s="28"/>
      <c r="P26" s="28"/>
      <c r="Q26" s="28"/>
      <c r="R26" s="12">
        <v>3</v>
      </c>
      <c r="S26" t="s" s="15">
        <v>20</v>
      </c>
    </row>
    <row r="27" ht="20.05" customHeight="1">
      <c r="A27" t="s" s="10">
        <v>131</v>
      </c>
      <c r="B27" s="24"/>
      <c r="C27" s="28"/>
      <c r="D27" s="28"/>
      <c r="E27" s="28"/>
      <c r="F27" s="28"/>
      <c r="G27" s="28"/>
      <c r="H27" s="28"/>
      <c r="I27" s="12">
        <v>2</v>
      </c>
      <c r="J27" s="12">
        <v>140</v>
      </c>
      <c r="K27" s="28"/>
      <c r="L27" s="28"/>
      <c r="M27" s="28"/>
      <c r="N27" s="28"/>
      <c r="O27" s="28"/>
      <c r="P27" s="28"/>
      <c r="Q27" s="28"/>
      <c r="R27" s="12">
        <v>3</v>
      </c>
      <c r="S27" t="s" s="15">
        <v>20</v>
      </c>
    </row>
    <row r="28" ht="20.05" customHeight="1">
      <c r="A28" t="s" s="10">
        <v>132</v>
      </c>
      <c r="B28" s="24"/>
      <c r="C28" s="28"/>
      <c r="D28" s="28"/>
      <c r="E28" s="28"/>
      <c r="F28" s="28"/>
      <c r="G28" s="28"/>
      <c r="H28" s="28"/>
      <c r="I28" s="12">
        <v>9</v>
      </c>
      <c r="J28" s="12">
        <v>20</v>
      </c>
      <c r="K28" s="28"/>
      <c r="L28" s="28"/>
      <c r="M28" s="28"/>
      <c r="N28" s="28"/>
      <c r="O28" s="28"/>
      <c r="P28" s="28"/>
      <c r="Q28" s="28"/>
      <c r="R28" s="12">
        <v>2</v>
      </c>
      <c r="S28" t="s" s="15">
        <v>20</v>
      </c>
    </row>
    <row r="29" ht="20.05" customHeight="1">
      <c r="A29" t="s" s="10">
        <v>133</v>
      </c>
      <c r="B29" s="24"/>
      <c r="C29" s="28"/>
      <c r="D29" s="28"/>
      <c r="E29" s="28"/>
      <c r="F29" s="28"/>
      <c r="G29" s="28"/>
      <c r="H29" s="12">
        <v>30</v>
      </c>
      <c r="I29" s="28"/>
      <c r="J29" s="28"/>
      <c r="K29" s="12">
        <v>36</v>
      </c>
      <c r="L29" s="28"/>
      <c r="M29" s="28"/>
      <c r="N29" s="28"/>
      <c r="O29" s="28"/>
      <c r="P29" s="12">
        <v>10</v>
      </c>
      <c r="Q29" s="28"/>
      <c r="R29" s="12">
        <v>4</v>
      </c>
      <c r="S29" t="s" s="15">
        <v>134</v>
      </c>
    </row>
    <row r="30" ht="20.05" customHeight="1">
      <c r="A30" t="s" s="10">
        <v>133</v>
      </c>
      <c r="B30" s="24"/>
      <c r="C30" s="28"/>
      <c r="D30" s="28"/>
      <c r="E30" s="28"/>
      <c r="F30" s="28"/>
      <c r="G30" s="28"/>
      <c r="H30" s="12">
        <v>12</v>
      </c>
      <c r="I30" s="28"/>
      <c r="J30" s="28"/>
      <c r="K30" s="12">
        <v>14</v>
      </c>
      <c r="L30" s="28"/>
      <c r="M30" s="28"/>
      <c r="N30" s="28"/>
      <c r="O30" s="28"/>
      <c r="P30" s="28"/>
      <c r="Q30" s="28"/>
      <c r="R30" s="12">
        <v>4</v>
      </c>
      <c r="S30" t="s" s="15">
        <v>134</v>
      </c>
    </row>
    <row r="31" ht="20.05" customHeight="1">
      <c r="A31" t="s" s="10">
        <v>135</v>
      </c>
      <c r="B31" s="24"/>
      <c r="C31" s="28"/>
      <c r="D31" s="28"/>
      <c r="E31" s="28"/>
      <c r="F31" s="28"/>
      <c r="G31" s="28"/>
      <c r="H31" s="12">
        <v>15</v>
      </c>
      <c r="I31" s="28"/>
      <c r="J31" s="28"/>
      <c r="K31" s="12">
        <v>18</v>
      </c>
      <c r="L31" s="28"/>
      <c r="M31" s="28"/>
      <c r="N31" s="28"/>
      <c r="O31" s="28"/>
      <c r="P31" s="12">
        <v>6</v>
      </c>
      <c r="Q31" s="28"/>
      <c r="R31" s="12">
        <v>3</v>
      </c>
      <c r="S31" t="s" s="15">
        <v>20</v>
      </c>
    </row>
    <row r="32" ht="20.05" customHeight="1">
      <c r="A32" t="s" s="10">
        <v>136</v>
      </c>
      <c r="B32" s="24"/>
      <c r="C32" s="28"/>
      <c r="D32" s="28"/>
      <c r="E32" s="28"/>
      <c r="F32" s="28"/>
      <c r="G32" s="28"/>
      <c r="H32" s="12">
        <v>30</v>
      </c>
      <c r="I32" s="28"/>
      <c r="J32" s="28"/>
      <c r="K32" s="12">
        <v>8</v>
      </c>
      <c r="L32" s="28"/>
      <c r="M32" s="28"/>
      <c r="N32" s="28"/>
      <c r="O32" s="28"/>
      <c r="P32" s="12">
        <v>8</v>
      </c>
      <c r="Q32" s="28"/>
      <c r="R32" s="12">
        <v>3</v>
      </c>
      <c r="S32" t="s" s="15">
        <v>137</v>
      </c>
    </row>
    <row r="33" ht="20.05" customHeight="1">
      <c r="A33" t="s" s="10">
        <v>138</v>
      </c>
      <c r="B33" s="24"/>
      <c r="C33" s="28"/>
      <c r="D33" s="28"/>
      <c r="E33" s="28"/>
      <c r="F33" s="28"/>
      <c r="G33" s="28"/>
      <c r="H33" s="12">
        <v>10</v>
      </c>
      <c r="I33" s="28"/>
      <c r="J33" s="28"/>
      <c r="K33" s="12">
        <v>14</v>
      </c>
      <c r="L33" s="28"/>
      <c r="M33" s="28"/>
      <c r="N33" s="28"/>
      <c r="O33" s="28"/>
      <c r="P33" s="28"/>
      <c r="Q33" s="28"/>
      <c r="R33" s="12">
        <v>3</v>
      </c>
      <c r="S33" t="s" s="15">
        <v>138</v>
      </c>
    </row>
    <row r="34" ht="20.05" customHeight="1">
      <c r="A34" t="s" s="10">
        <v>139</v>
      </c>
      <c r="B34" s="24"/>
      <c r="C34" s="28"/>
      <c r="D34" s="28"/>
      <c r="E34" s="28"/>
      <c r="F34" s="28"/>
      <c r="G34" s="28"/>
      <c r="H34" s="28"/>
      <c r="I34" s="28"/>
      <c r="J34" s="28"/>
      <c r="K34" s="28"/>
      <c r="L34" s="12">
        <v>76</v>
      </c>
      <c r="M34" s="28"/>
      <c r="N34" s="28"/>
      <c r="O34" s="28"/>
      <c r="P34" s="12">
        <v>6</v>
      </c>
      <c r="Q34" s="28"/>
      <c r="R34" s="12">
        <v>4</v>
      </c>
      <c r="S34" t="s" s="15">
        <v>140</v>
      </c>
    </row>
    <row r="35" ht="20.05" customHeight="1">
      <c r="A35" t="s" s="10">
        <v>141</v>
      </c>
      <c r="B35" s="24"/>
      <c r="C35" s="28"/>
      <c r="D35" s="28"/>
      <c r="E35" s="28"/>
      <c r="F35" s="28"/>
      <c r="G35" s="28"/>
      <c r="H35" s="28"/>
      <c r="I35" s="28"/>
      <c r="J35" s="28"/>
      <c r="K35" s="28"/>
      <c r="L35" s="12">
        <v>57</v>
      </c>
      <c r="M35" s="28"/>
      <c r="N35" s="28"/>
      <c r="O35" s="28"/>
      <c r="P35" s="12">
        <v>7</v>
      </c>
      <c r="Q35" s="28"/>
      <c r="R35" s="12">
        <v>3</v>
      </c>
      <c r="S35" t="s" s="15">
        <v>20</v>
      </c>
    </row>
    <row r="36" ht="20.05" customHeight="1">
      <c r="A36" t="s" s="10">
        <v>141</v>
      </c>
      <c r="B36" s="24"/>
      <c r="C36" s="28"/>
      <c r="D36" s="28"/>
      <c r="E36" s="28"/>
      <c r="F36" s="28"/>
      <c r="G36" s="28"/>
      <c r="H36" s="28"/>
      <c r="I36" s="28"/>
      <c r="J36" s="28"/>
      <c r="K36" s="28"/>
      <c r="L36" s="12">
        <v>44</v>
      </c>
      <c r="M36" s="28"/>
      <c r="N36" s="28"/>
      <c r="O36" s="28"/>
      <c r="P36" s="12">
        <v>4</v>
      </c>
      <c r="Q36" s="28"/>
      <c r="R36" s="12">
        <v>3</v>
      </c>
      <c r="S36" t="s" s="15">
        <v>20</v>
      </c>
    </row>
    <row r="37" ht="20.05" customHeight="1">
      <c r="A37" t="s" s="10">
        <v>141</v>
      </c>
      <c r="B37" s="24"/>
      <c r="C37" s="28"/>
      <c r="D37" s="28"/>
      <c r="E37" s="28"/>
      <c r="F37" s="28"/>
      <c r="G37" s="28"/>
      <c r="H37" s="28"/>
      <c r="I37" s="28"/>
      <c r="J37" s="28"/>
      <c r="K37" s="28"/>
      <c r="L37" s="12">
        <v>28</v>
      </c>
      <c r="M37" s="28"/>
      <c r="N37" s="28"/>
      <c r="O37" s="28"/>
      <c r="P37" s="28"/>
      <c r="Q37" s="28"/>
      <c r="R37" s="12">
        <v>3</v>
      </c>
      <c r="S37" t="s" s="15">
        <v>20</v>
      </c>
    </row>
    <row r="38" ht="20.05" customHeight="1">
      <c r="A38" t="s" s="10">
        <v>141</v>
      </c>
      <c r="B38" s="24"/>
      <c r="C38" s="28"/>
      <c r="D38" s="28"/>
      <c r="E38" s="28"/>
      <c r="F38" s="28"/>
      <c r="G38" s="28"/>
      <c r="H38" s="28"/>
      <c r="I38" s="28"/>
      <c r="J38" s="28"/>
      <c r="K38" s="28"/>
      <c r="L38" s="12">
        <v>18</v>
      </c>
      <c r="M38" s="28"/>
      <c r="N38" s="28"/>
      <c r="O38" s="28"/>
      <c r="P38" s="28"/>
      <c r="Q38" s="28"/>
      <c r="R38" s="12">
        <v>2</v>
      </c>
      <c r="S38" t="s" s="15">
        <v>20</v>
      </c>
    </row>
    <row r="39" ht="20.05" customHeight="1">
      <c r="A39" t="s" s="10">
        <v>142</v>
      </c>
      <c r="B39" s="24"/>
      <c r="C39" s="28"/>
      <c r="D39" s="28"/>
      <c r="E39" s="28"/>
      <c r="F39" s="28"/>
      <c r="G39" s="28"/>
      <c r="H39" s="28"/>
      <c r="I39" s="28"/>
      <c r="J39" s="12">
        <v>430</v>
      </c>
      <c r="K39" s="28"/>
      <c r="L39" s="28"/>
      <c r="M39" s="28"/>
      <c r="N39" s="28"/>
      <c r="O39" s="28"/>
      <c r="P39" s="12">
        <v>6</v>
      </c>
      <c r="Q39" s="28"/>
      <c r="R39" s="12">
        <v>4</v>
      </c>
      <c r="S39" t="s" s="15">
        <v>142</v>
      </c>
    </row>
    <row r="40" ht="20.05" customHeight="1">
      <c r="A40" t="s" s="10">
        <v>143</v>
      </c>
      <c r="B40" s="24"/>
      <c r="C40" s="28"/>
      <c r="D40" s="28"/>
      <c r="E40" s="28"/>
      <c r="F40" s="28"/>
      <c r="G40" s="28"/>
      <c r="H40" s="28"/>
      <c r="I40" s="28"/>
      <c r="J40" s="12">
        <v>500</v>
      </c>
      <c r="K40" s="28"/>
      <c r="L40" s="28"/>
      <c r="M40" s="28"/>
      <c r="N40" s="28"/>
      <c r="O40" s="28"/>
      <c r="P40" s="12">
        <v>10</v>
      </c>
      <c r="Q40" s="28"/>
      <c r="R40" s="12">
        <v>4</v>
      </c>
      <c r="S40" t="s" s="15">
        <v>144</v>
      </c>
    </row>
    <row r="41" ht="20.05" customHeight="1">
      <c r="A41" t="s" s="10">
        <v>145</v>
      </c>
      <c r="B41" s="24"/>
      <c r="C41" s="28"/>
      <c r="D41" s="28"/>
      <c r="E41" s="28"/>
      <c r="F41" s="28"/>
      <c r="G41" s="28"/>
      <c r="H41" s="28"/>
      <c r="I41" s="28"/>
      <c r="J41" s="12">
        <v>250</v>
      </c>
      <c r="K41" s="28"/>
      <c r="L41" s="28"/>
      <c r="M41" s="28"/>
      <c r="N41" s="28"/>
      <c r="O41" s="28"/>
      <c r="P41" s="28"/>
      <c r="Q41" s="28"/>
      <c r="R41" s="12">
        <v>4</v>
      </c>
      <c r="S41" t="s" s="15">
        <v>145</v>
      </c>
    </row>
    <row r="42" ht="20.05" customHeight="1">
      <c r="A42" t="s" s="10">
        <v>146</v>
      </c>
      <c r="B42" s="24"/>
      <c r="C42" s="28"/>
      <c r="D42" s="28"/>
      <c r="E42" s="28"/>
      <c r="F42" s="28"/>
      <c r="G42" s="28"/>
      <c r="H42" s="28"/>
      <c r="I42" s="28"/>
      <c r="J42" s="12">
        <v>380</v>
      </c>
      <c r="K42" s="28"/>
      <c r="L42" s="28"/>
      <c r="M42" s="28"/>
      <c r="N42" s="28"/>
      <c r="O42" s="28"/>
      <c r="P42" s="12">
        <v>6</v>
      </c>
      <c r="Q42" s="28"/>
      <c r="R42" s="12">
        <v>3</v>
      </c>
      <c r="S42" t="s" s="15">
        <v>146</v>
      </c>
    </row>
    <row r="43" ht="20.05" customHeight="1">
      <c r="A43" t="s" s="10">
        <v>147</v>
      </c>
      <c r="B43" s="24"/>
      <c r="C43" s="28"/>
      <c r="D43" s="28"/>
      <c r="E43" s="28"/>
      <c r="F43" s="28"/>
      <c r="G43" s="28"/>
      <c r="H43" s="28"/>
      <c r="I43" s="28"/>
      <c r="J43" s="12">
        <v>500</v>
      </c>
      <c r="K43" s="28"/>
      <c r="L43" s="28"/>
      <c r="M43" s="28"/>
      <c r="N43" s="28"/>
      <c r="O43" s="28"/>
      <c r="P43" s="12">
        <v>10</v>
      </c>
      <c r="Q43" s="28"/>
      <c r="R43" s="12">
        <v>3</v>
      </c>
      <c r="S43" t="s" s="15">
        <v>148</v>
      </c>
    </row>
    <row r="44" ht="20.05" customHeight="1">
      <c r="A44" t="s" s="10">
        <v>147</v>
      </c>
      <c r="B44" s="24"/>
      <c r="C44" s="28"/>
      <c r="D44" s="28"/>
      <c r="E44" s="28"/>
      <c r="F44" s="28"/>
      <c r="G44" s="28"/>
      <c r="H44" s="28"/>
      <c r="I44" s="28"/>
      <c r="J44" s="12">
        <v>410</v>
      </c>
      <c r="K44" s="28"/>
      <c r="L44" s="28"/>
      <c r="M44" s="28"/>
      <c r="N44" s="28"/>
      <c r="O44" s="28"/>
      <c r="P44" s="12">
        <v>7</v>
      </c>
      <c r="Q44" s="28"/>
      <c r="R44" s="12">
        <v>3</v>
      </c>
      <c r="S44" t="s" s="15">
        <v>148</v>
      </c>
    </row>
    <row r="45" ht="20.05" customHeight="1">
      <c r="A45" t="s" s="10">
        <v>147</v>
      </c>
      <c r="B45" s="24"/>
      <c r="C45" s="28"/>
      <c r="D45" s="28"/>
      <c r="E45" s="28"/>
      <c r="F45" s="28"/>
      <c r="G45" s="28"/>
      <c r="H45" s="28"/>
      <c r="I45" s="28"/>
      <c r="J45" s="12">
        <v>380</v>
      </c>
      <c r="K45" s="28"/>
      <c r="L45" s="28"/>
      <c r="M45" s="28"/>
      <c r="N45" s="28"/>
      <c r="O45" s="28"/>
      <c r="P45" s="12">
        <v>6</v>
      </c>
      <c r="Q45" s="28"/>
      <c r="R45" s="12">
        <v>3</v>
      </c>
      <c r="S45" t="s" s="15">
        <v>148</v>
      </c>
    </row>
    <row r="46" ht="20.05" customHeight="1">
      <c r="A46" t="s" s="10">
        <v>147</v>
      </c>
      <c r="B46" s="24"/>
      <c r="C46" s="28"/>
      <c r="D46" s="28"/>
      <c r="E46" s="28"/>
      <c r="F46" s="28"/>
      <c r="G46" s="28"/>
      <c r="H46" s="28"/>
      <c r="I46" s="28"/>
      <c r="J46" s="12">
        <v>320</v>
      </c>
      <c r="K46" s="28"/>
      <c r="L46" s="28"/>
      <c r="M46" s="28"/>
      <c r="N46" s="28"/>
      <c r="O46" s="28"/>
      <c r="P46" s="12">
        <v>4</v>
      </c>
      <c r="Q46" s="28"/>
      <c r="R46" s="12">
        <v>3</v>
      </c>
      <c r="S46" t="s" s="15">
        <v>148</v>
      </c>
    </row>
    <row r="47" ht="20.05" customHeight="1">
      <c r="A47" t="s" s="10">
        <v>147</v>
      </c>
      <c r="B47" s="24"/>
      <c r="C47" s="28"/>
      <c r="D47" s="28"/>
      <c r="E47" s="28"/>
      <c r="F47" s="28"/>
      <c r="G47" s="28"/>
      <c r="H47" s="28"/>
      <c r="I47" s="28"/>
      <c r="J47" s="12">
        <v>290</v>
      </c>
      <c r="K47" s="28"/>
      <c r="L47" s="28"/>
      <c r="M47" s="28"/>
      <c r="N47" s="28"/>
      <c r="O47" s="28"/>
      <c r="P47" s="12">
        <v>3</v>
      </c>
      <c r="Q47" s="28"/>
      <c r="R47" s="12">
        <v>3</v>
      </c>
      <c r="S47" t="s" s="15">
        <v>148</v>
      </c>
    </row>
    <row r="48" ht="20.05" customHeight="1">
      <c r="A48" t="s" s="10">
        <v>147</v>
      </c>
      <c r="B48" s="24"/>
      <c r="C48" s="28"/>
      <c r="D48" s="28"/>
      <c r="E48" s="28"/>
      <c r="F48" s="28"/>
      <c r="G48" s="28"/>
      <c r="H48" s="28"/>
      <c r="I48" s="28"/>
      <c r="J48" s="12">
        <v>200</v>
      </c>
      <c r="K48" s="28"/>
      <c r="L48" s="28"/>
      <c r="M48" s="28"/>
      <c r="N48" s="28"/>
      <c r="O48" s="28"/>
      <c r="P48" s="28"/>
      <c r="Q48" s="28"/>
      <c r="R48" s="12">
        <v>3</v>
      </c>
      <c r="S48" t="s" s="15">
        <v>148</v>
      </c>
    </row>
    <row r="49" ht="20.05" customHeight="1">
      <c r="A49" t="s" s="10">
        <v>149</v>
      </c>
      <c r="B49" s="24"/>
      <c r="C49" s="28"/>
      <c r="D49" s="28"/>
      <c r="E49" s="28"/>
      <c r="F49" s="28"/>
      <c r="G49" s="28"/>
      <c r="H49" s="28"/>
      <c r="I49" s="28"/>
      <c r="J49" s="12">
        <v>186</v>
      </c>
      <c r="K49" s="28"/>
      <c r="L49" s="28"/>
      <c r="M49" s="12">
        <v>6</v>
      </c>
      <c r="N49" s="28"/>
      <c r="O49" s="28"/>
      <c r="P49" s="12">
        <v>6</v>
      </c>
      <c r="Q49" s="28"/>
      <c r="R49" s="12">
        <v>3</v>
      </c>
      <c r="S49" t="s" s="15">
        <v>20</v>
      </c>
    </row>
    <row r="50" ht="20.05" customHeight="1">
      <c r="A50" t="s" s="10">
        <v>149</v>
      </c>
      <c r="B50" s="24"/>
      <c r="C50" s="28"/>
      <c r="D50" s="28"/>
      <c r="E50" s="28"/>
      <c r="F50" s="28"/>
      <c r="G50" s="28"/>
      <c r="H50" s="28"/>
      <c r="I50" s="28"/>
      <c r="J50" s="12">
        <v>98</v>
      </c>
      <c r="K50" s="28"/>
      <c r="L50" s="28"/>
      <c r="M50" s="12">
        <v>3</v>
      </c>
      <c r="N50" s="28"/>
      <c r="O50" s="28"/>
      <c r="P50" s="28"/>
      <c r="Q50" s="28"/>
      <c r="R50" s="12">
        <v>3</v>
      </c>
      <c r="S50" t="s" s="15">
        <v>20</v>
      </c>
    </row>
    <row r="51" ht="20.05" customHeight="1">
      <c r="A51" t="s" s="10">
        <v>150</v>
      </c>
      <c r="B51" s="24"/>
      <c r="C51" s="28"/>
      <c r="D51" s="28"/>
      <c r="E51" s="28"/>
      <c r="F51" s="28"/>
      <c r="G51" s="28"/>
      <c r="H51" s="28"/>
      <c r="I51" s="28"/>
      <c r="J51" s="12">
        <v>371</v>
      </c>
      <c r="K51" s="28"/>
      <c r="L51" s="28"/>
      <c r="M51" s="28"/>
      <c r="N51" s="28"/>
      <c r="O51" s="28"/>
      <c r="P51" s="12">
        <v>11</v>
      </c>
      <c r="Q51" s="12">
        <v>0.01</v>
      </c>
      <c r="R51" s="12">
        <v>3</v>
      </c>
      <c r="S51" t="s" s="15">
        <v>151</v>
      </c>
    </row>
    <row r="52" ht="20.05" customHeight="1">
      <c r="A52" t="s" s="10">
        <v>150</v>
      </c>
      <c r="B52" s="24"/>
      <c r="C52" s="28"/>
      <c r="D52" s="28"/>
      <c r="E52" s="28"/>
      <c r="F52" s="28"/>
      <c r="G52" s="28"/>
      <c r="H52" s="28"/>
      <c r="I52" s="28"/>
      <c r="J52" s="12">
        <v>350</v>
      </c>
      <c r="K52" s="28"/>
      <c r="L52" s="28"/>
      <c r="M52" s="28"/>
      <c r="N52" s="28"/>
      <c r="O52" s="28"/>
      <c r="P52" s="12">
        <v>10</v>
      </c>
      <c r="Q52" s="28"/>
      <c r="R52" s="12">
        <v>3</v>
      </c>
      <c r="S52" t="s" s="15">
        <v>151</v>
      </c>
    </row>
    <row r="53" ht="20.05" customHeight="1">
      <c r="A53" t="s" s="10">
        <v>150</v>
      </c>
      <c r="B53" s="24"/>
      <c r="C53" s="28"/>
      <c r="D53" s="28"/>
      <c r="E53" s="28"/>
      <c r="F53" s="28"/>
      <c r="G53" s="28"/>
      <c r="H53" s="28"/>
      <c r="I53" s="28"/>
      <c r="J53" s="12">
        <v>287</v>
      </c>
      <c r="K53" s="28"/>
      <c r="L53" s="28"/>
      <c r="M53" s="28"/>
      <c r="N53" s="28"/>
      <c r="O53" s="28"/>
      <c r="P53" s="12">
        <v>7</v>
      </c>
      <c r="Q53" s="28"/>
      <c r="R53" s="12">
        <v>3</v>
      </c>
      <c r="S53" t="s" s="15">
        <v>151</v>
      </c>
    </row>
    <row r="54" ht="20.05" customHeight="1">
      <c r="A54" t="s" s="10">
        <v>150</v>
      </c>
      <c r="B54" s="24"/>
      <c r="C54" s="28"/>
      <c r="D54" s="28"/>
      <c r="E54" s="28"/>
      <c r="F54" s="28"/>
      <c r="G54" s="28"/>
      <c r="H54" s="28"/>
      <c r="I54" s="28"/>
      <c r="J54" s="12">
        <v>140</v>
      </c>
      <c r="K54" s="28"/>
      <c r="L54" s="28"/>
      <c r="M54" s="28"/>
      <c r="N54" s="28"/>
      <c r="O54" s="28"/>
      <c r="P54" s="28"/>
      <c r="Q54" s="28"/>
      <c r="R54" s="12">
        <v>3</v>
      </c>
      <c r="S54" t="s" s="15">
        <v>151</v>
      </c>
    </row>
    <row r="55" ht="20.05" customHeight="1">
      <c r="A55" t="s" s="10">
        <v>152</v>
      </c>
      <c r="B55" s="24"/>
      <c r="C55" s="28"/>
      <c r="D55" s="28"/>
      <c r="E55" s="28"/>
      <c r="F55" s="28"/>
      <c r="G55" s="28"/>
      <c r="H55" s="28"/>
      <c r="I55" s="28"/>
      <c r="J55" s="12">
        <v>140</v>
      </c>
      <c r="K55" s="28"/>
      <c r="L55" s="28"/>
      <c r="M55" s="28"/>
      <c r="N55" s="28"/>
      <c r="O55" s="28"/>
      <c r="P55" s="28"/>
      <c r="Q55" s="28"/>
      <c r="R55" s="12">
        <v>3</v>
      </c>
      <c r="S55" t="s" s="15">
        <v>153</v>
      </c>
    </row>
    <row r="56" ht="20.05" customHeight="1">
      <c r="A56" t="s" s="10">
        <v>154</v>
      </c>
      <c r="B56" s="24"/>
      <c r="C56" s="28"/>
      <c r="D56" s="28"/>
      <c r="E56" s="28"/>
      <c r="F56" s="28"/>
      <c r="G56" s="28"/>
      <c r="H56" s="28"/>
      <c r="I56" s="28"/>
      <c r="J56" s="12">
        <v>266</v>
      </c>
      <c r="K56" s="28"/>
      <c r="L56" s="28"/>
      <c r="M56" s="28"/>
      <c r="N56" s="28"/>
      <c r="O56" s="28"/>
      <c r="P56" s="12">
        <v>6</v>
      </c>
      <c r="Q56" s="28"/>
      <c r="R56" s="12">
        <v>3</v>
      </c>
      <c r="S56" t="s" s="15">
        <v>154</v>
      </c>
    </row>
    <row r="57" ht="20.05" customHeight="1">
      <c r="A57" t="s" s="10">
        <v>155</v>
      </c>
      <c r="B57" s="24"/>
      <c r="C57" s="28"/>
      <c r="D57" s="28"/>
      <c r="E57" s="28"/>
      <c r="F57" s="28"/>
      <c r="G57" s="28"/>
      <c r="H57" s="28"/>
      <c r="I57" s="28"/>
      <c r="J57" s="12">
        <v>287</v>
      </c>
      <c r="K57" s="28"/>
      <c r="L57" s="28"/>
      <c r="M57" s="28"/>
      <c r="N57" s="28"/>
      <c r="O57" s="28"/>
      <c r="P57" s="12">
        <v>7</v>
      </c>
      <c r="Q57" s="28"/>
      <c r="R57" s="12">
        <v>2</v>
      </c>
      <c r="S57" t="s" s="15">
        <v>156</v>
      </c>
    </row>
    <row r="58" ht="20.05" customHeight="1">
      <c r="A58" t="s" s="10">
        <v>147</v>
      </c>
      <c r="B58" s="24"/>
      <c r="C58" s="28"/>
      <c r="D58" s="28"/>
      <c r="E58" s="28"/>
      <c r="F58" s="28"/>
      <c r="G58" s="28"/>
      <c r="H58" s="28"/>
      <c r="I58" s="28"/>
      <c r="J58" s="12">
        <v>90</v>
      </c>
      <c r="K58" s="28"/>
      <c r="L58" s="28"/>
      <c r="M58" s="28"/>
      <c r="N58" s="28"/>
      <c r="O58" s="28"/>
      <c r="P58" s="28"/>
      <c r="Q58" s="28"/>
      <c r="R58" s="12">
        <v>1</v>
      </c>
      <c r="S58" t="s" s="15">
        <v>157</v>
      </c>
    </row>
    <row r="59" ht="20.05" customHeight="1">
      <c r="A59" t="s" s="10">
        <v>150</v>
      </c>
      <c r="B59" s="24"/>
      <c r="C59" s="28"/>
      <c r="D59" s="28"/>
      <c r="E59" s="28"/>
      <c r="F59" s="28"/>
      <c r="G59" s="28"/>
      <c r="H59" s="28"/>
      <c r="I59" s="28"/>
      <c r="J59" s="12">
        <v>50</v>
      </c>
      <c r="K59" s="28"/>
      <c r="L59" s="28"/>
      <c r="M59" s="28"/>
      <c r="N59" s="28"/>
      <c r="O59" s="28"/>
      <c r="P59" s="28"/>
      <c r="Q59" s="28"/>
      <c r="R59" s="12">
        <v>1</v>
      </c>
      <c r="S59" t="s" s="15">
        <v>158</v>
      </c>
    </row>
    <row r="60" ht="20.05" customHeight="1">
      <c r="A60" t="s" s="10">
        <v>159</v>
      </c>
      <c r="B60" s="11">
        <v>3.06</v>
      </c>
      <c r="C60" s="12">
        <v>142</v>
      </c>
      <c r="D60" s="12">
        <v>284</v>
      </c>
      <c r="E60" s="28"/>
      <c r="F60" s="28"/>
      <c r="G60" s="28"/>
      <c r="H60" s="28"/>
      <c r="I60" s="28"/>
      <c r="J60" s="28"/>
      <c r="K60" s="28"/>
      <c r="L60" s="28"/>
      <c r="M60" s="28"/>
      <c r="N60" s="12">
        <v>45</v>
      </c>
      <c r="O60" s="28"/>
      <c r="P60" s="12">
        <v>6</v>
      </c>
      <c r="Q60" s="28"/>
      <c r="R60" s="12">
        <v>4</v>
      </c>
      <c r="S60" t="s" s="15">
        <v>20</v>
      </c>
    </row>
    <row r="61" ht="20.05" customHeight="1">
      <c r="A61" t="s" s="10">
        <v>160</v>
      </c>
      <c r="B61" s="24"/>
      <c r="C61" s="28"/>
      <c r="D61" s="28"/>
      <c r="E61" s="28"/>
      <c r="F61" s="28"/>
      <c r="G61" s="28"/>
      <c r="H61" s="28"/>
      <c r="I61" s="28"/>
      <c r="J61" s="28"/>
      <c r="K61" s="12">
        <v>8</v>
      </c>
      <c r="L61" s="28"/>
      <c r="M61" s="28"/>
      <c r="N61" s="12">
        <v>16</v>
      </c>
      <c r="O61" s="12">
        <v>5</v>
      </c>
      <c r="P61" s="12">
        <v>6</v>
      </c>
      <c r="Q61" s="28"/>
      <c r="R61" s="12">
        <v>3</v>
      </c>
      <c r="S61" t="s" s="15">
        <v>20</v>
      </c>
    </row>
    <row r="62" ht="20.05" customHeight="1">
      <c r="A62" t="s" s="10">
        <v>54</v>
      </c>
      <c r="B62" s="24"/>
      <c r="C62" s="28"/>
      <c r="D62" s="28"/>
      <c r="E62" s="28"/>
      <c r="F62" s="28"/>
      <c r="G62" s="28"/>
      <c r="H62" s="28"/>
      <c r="I62" s="28"/>
      <c r="J62" s="28"/>
      <c r="K62" s="12">
        <v>28</v>
      </c>
      <c r="L62" s="28"/>
      <c r="M62" s="28"/>
      <c r="N62" s="12">
        <v>24</v>
      </c>
      <c r="O62" s="28"/>
      <c r="P62" s="12">
        <v>7</v>
      </c>
      <c r="Q62" s="28"/>
      <c r="R62" s="12">
        <v>3</v>
      </c>
      <c r="S62" t="s" s="15">
        <v>55</v>
      </c>
    </row>
    <row r="63" ht="20.05" customHeight="1">
      <c r="A63" t="s" s="10">
        <v>161</v>
      </c>
      <c r="B63" s="11">
        <v>4.11</v>
      </c>
      <c r="C63" s="12">
        <f t="shared" si="0" ref="C63:D63">22*3</f>
        <v>66</v>
      </c>
      <c r="D63" s="12">
        <f t="shared" si="0"/>
        <v>66</v>
      </c>
      <c r="E63" s="28"/>
      <c r="F63" s="28"/>
      <c r="G63" s="28"/>
      <c r="H63" s="28"/>
      <c r="I63" s="28"/>
      <c r="J63" s="28"/>
      <c r="K63" s="28"/>
      <c r="L63" s="28"/>
      <c r="M63" s="28"/>
      <c r="N63" s="12">
        <v>12</v>
      </c>
      <c r="O63" s="28"/>
      <c r="P63" s="28"/>
      <c r="Q63" s="28"/>
      <c r="R63" s="12">
        <v>2</v>
      </c>
      <c r="S63" t="s" s="15">
        <v>20</v>
      </c>
    </row>
    <row r="64" ht="20.05" customHeight="1">
      <c r="A64" t="s" s="10">
        <v>162</v>
      </c>
      <c r="B64" s="24"/>
      <c r="C64" s="28"/>
      <c r="D64" s="28"/>
      <c r="E64" s="28"/>
      <c r="F64" s="28"/>
      <c r="G64" s="28"/>
      <c r="H64" s="28"/>
      <c r="I64" s="28"/>
      <c r="J64" s="28"/>
      <c r="K64" s="28"/>
      <c r="L64" s="28"/>
      <c r="M64" s="28"/>
      <c r="N64" s="12">
        <v>45</v>
      </c>
      <c r="O64" s="28"/>
      <c r="P64" s="12">
        <v>10</v>
      </c>
      <c r="Q64" s="28"/>
      <c r="R64" s="12">
        <v>3</v>
      </c>
      <c r="S64" t="s" s="15">
        <v>20</v>
      </c>
    </row>
    <row r="65" ht="20.05" customHeight="1">
      <c r="A65" t="s" s="10">
        <v>163</v>
      </c>
      <c r="B65" s="24"/>
      <c r="C65" s="28"/>
      <c r="D65" s="28"/>
      <c r="E65" s="28"/>
      <c r="F65" s="28"/>
      <c r="G65" s="28"/>
      <c r="H65" s="28"/>
      <c r="I65" s="28"/>
      <c r="J65" s="28"/>
      <c r="K65" s="12">
        <v>30</v>
      </c>
      <c r="L65" s="28"/>
      <c r="M65" s="12">
        <v>7</v>
      </c>
      <c r="N65" s="28"/>
      <c r="O65" s="28"/>
      <c r="P65" s="12">
        <v>8</v>
      </c>
      <c r="Q65" s="28"/>
      <c r="R65" s="12">
        <v>3</v>
      </c>
      <c r="S65" t="s" s="15">
        <v>20</v>
      </c>
    </row>
    <row r="66" ht="20.05" customHeight="1">
      <c r="A66" t="s" s="10">
        <v>163</v>
      </c>
      <c r="B66" s="24"/>
      <c r="C66" s="28"/>
      <c r="D66" s="28"/>
      <c r="E66" s="28"/>
      <c r="F66" s="28"/>
      <c r="G66" s="28"/>
      <c r="H66" s="28"/>
      <c r="I66" s="28"/>
      <c r="J66" s="28"/>
      <c r="K66" s="12">
        <v>22</v>
      </c>
      <c r="L66" s="28"/>
      <c r="M66" s="12">
        <v>5</v>
      </c>
      <c r="N66" s="28"/>
      <c r="O66" s="28"/>
      <c r="P66" s="12">
        <v>4</v>
      </c>
      <c r="Q66" s="28"/>
      <c r="R66" s="12">
        <v>3</v>
      </c>
      <c r="S66" t="s" s="15">
        <v>20</v>
      </c>
    </row>
    <row r="67" ht="20.05" customHeight="1">
      <c r="A67" t="s" s="10">
        <v>163</v>
      </c>
      <c r="B67" s="24"/>
      <c r="C67" s="28"/>
      <c r="D67" s="28"/>
      <c r="E67" s="28"/>
      <c r="F67" s="28"/>
      <c r="G67" s="28"/>
      <c r="H67" s="28"/>
      <c r="I67" s="28"/>
      <c r="J67" s="28"/>
      <c r="K67" s="12">
        <v>14</v>
      </c>
      <c r="L67" s="28"/>
      <c r="M67" s="12">
        <v>3</v>
      </c>
      <c r="N67" s="28"/>
      <c r="O67" s="28"/>
      <c r="P67" s="28"/>
      <c r="Q67" s="28"/>
      <c r="R67" s="12">
        <v>3</v>
      </c>
      <c r="S67" t="s" s="15">
        <v>20</v>
      </c>
    </row>
    <row r="68" ht="20.05" customHeight="1">
      <c r="A68" t="s" s="10">
        <v>163</v>
      </c>
      <c r="B68" s="24"/>
      <c r="C68" s="28"/>
      <c r="D68" s="28"/>
      <c r="E68" s="28"/>
      <c r="F68" s="28"/>
      <c r="G68" s="28"/>
      <c r="H68" s="28"/>
      <c r="I68" s="28"/>
      <c r="J68" s="28"/>
      <c r="K68" s="12">
        <v>11</v>
      </c>
      <c r="L68" s="28"/>
      <c r="M68" s="12">
        <v>2</v>
      </c>
      <c r="N68" s="28"/>
      <c r="O68" s="28"/>
      <c r="P68" s="12">
        <v>2</v>
      </c>
      <c r="Q68" s="28"/>
      <c r="R68" s="12">
        <v>2</v>
      </c>
      <c r="S68" t="s" s="15">
        <v>20</v>
      </c>
    </row>
    <row r="69" ht="20.05" customHeight="1">
      <c r="A69" t="s" s="10">
        <v>163</v>
      </c>
      <c r="B69" s="24"/>
      <c r="C69" s="28"/>
      <c r="D69" s="28"/>
      <c r="E69" s="28"/>
      <c r="F69" s="28"/>
      <c r="G69" s="28"/>
      <c r="H69" s="28"/>
      <c r="I69" s="28"/>
      <c r="J69" s="28"/>
      <c r="K69" s="12">
        <v>9</v>
      </c>
      <c r="L69" s="28"/>
      <c r="M69" s="12">
        <v>2</v>
      </c>
      <c r="N69" s="28"/>
      <c r="O69" s="28"/>
      <c r="P69" s="28"/>
      <c r="Q69" s="28"/>
      <c r="R69" s="12">
        <v>2</v>
      </c>
      <c r="S69" t="s" s="15">
        <v>20</v>
      </c>
    </row>
    <row r="70" ht="20.05" customHeight="1">
      <c r="A70" t="s" s="10">
        <v>163</v>
      </c>
      <c r="B70" s="24"/>
      <c r="C70" s="28"/>
      <c r="D70" s="28"/>
      <c r="E70" s="28"/>
      <c r="F70" s="28"/>
      <c r="G70" s="28"/>
      <c r="H70" s="28"/>
      <c r="I70" s="28"/>
      <c r="J70" s="28"/>
      <c r="K70" s="12">
        <v>5</v>
      </c>
      <c r="L70" s="28"/>
      <c r="M70" s="12">
        <v>1</v>
      </c>
      <c r="N70" s="28"/>
      <c r="O70" s="28"/>
      <c r="P70" s="28"/>
      <c r="Q70" s="28"/>
      <c r="R70" s="12">
        <v>1</v>
      </c>
      <c r="S70" t="s" s="15">
        <v>20</v>
      </c>
    </row>
    <row r="71" ht="20.05" customHeight="1">
      <c r="A71" t="s" s="10">
        <v>164</v>
      </c>
      <c r="B71" s="24"/>
      <c r="C71" s="28"/>
      <c r="D71" s="28"/>
      <c r="E71" s="28"/>
      <c r="F71" s="28"/>
      <c r="G71" s="28"/>
      <c r="H71" s="28"/>
      <c r="I71" s="28"/>
      <c r="J71" s="12">
        <v>350</v>
      </c>
      <c r="K71" s="28"/>
      <c r="L71" s="28"/>
      <c r="M71" s="28"/>
      <c r="N71" s="28"/>
      <c r="O71" s="28"/>
      <c r="P71" s="28"/>
      <c r="Q71" s="28"/>
      <c r="R71" s="12">
        <v>4</v>
      </c>
      <c r="S71" t="s" s="15">
        <v>164</v>
      </c>
    </row>
  </sheetData>
  <mergeCells count="1">
    <mergeCell ref="A1:S1"/>
  </mergeCells>
  <conditionalFormatting sqref="B3:Q71">
    <cfRule type="cellIs" dxfId="75" priority="1" operator="equal" stopIfTrue="1">
      <formula>0</formula>
    </cfRule>
  </conditionalFormatting>
  <conditionalFormatting sqref="R3:R71">
    <cfRule type="cellIs" dxfId="76" priority="1" operator="equal" stopIfTrue="1">
      <formula>5</formula>
    </cfRule>
    <cfRule type="cellIs" dxfId="77" priority="2" operator="equal" stopIfTrue="1">
      <formula>4</formula>
    </cfRule>
    <cfRule type="cellIs" dxfId="78" priority="3" operator="equal" stopIfTrue="1">
      <formula>3</formula>
    </cfRule>
    <cfRule type="cellIs" dxfId="79" priority="4" operator="equal" stopIfTrue="1">
      <formula>2</formula>
    </cfRule>
    <cfRule type="cellIs" dxfId="80" priority="5" operator="equal" stopIfTrue="1">
      <formula>1</formula>
    </cfRule>
    <cfRule type="cellIs" dxfId="81" priority="6" operator="equal" stopIfTrue="1">
      <formula>0</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